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NAMIK\"/>
    </mc:Choice>
  </mc:AlternateContent>
  <bookViews>
    <workbookView xWindow="0" yWindow="0" windowWidth="28800" windowHeight="12435" tabRatio="581"/>
  </bookViews>
  <sheets>
    <sheet name="tusuv1" sheetId="24" r:id="rId1"/>
    <sheet name="tusuv2" sheetId="25" r:id="rId2"/>
    <sheet name="zarlaga" sheetId="26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E8" i="26" l="1"/>
  <c r="D8" i="26"/>
  <c r="C8" i="26"/>
  <c r="B8" i="26"/>
  <c r="M30" i="24"/>
  <c r="M17" i="24"/>
  <c r="M7" i="24" s="1"/>
  <c r="M6" i="24" s="1"/>
  <c r="M5" i="24" s="1"/>
  <c r="M14" i="24"/>
  <c r="L34" i="24" l="1"/>
  <c r="L30" i="24" s="1"/>
  <c r="L18" i="24"/>
  <c r="L17" i="24" s="1"/>
  <c r="L15" i="24"/>
  <c r="L14" i="24" s="1"/>
  <c r="L9" i="24"/>
  <c r="L8" i="24"/>
  <c r="L7" i="24" l="1"/>
  <c r="L6" i="24" s="1"/>
  <c r="R20" i="25" l="1"/>
  <c r="R19" i="25"/>
  <c r="R12" i="25"/>
  <c r="R9" i="25"/>
  <c r="R8" i="25"/>
  <c r="R7" i="25"/>
  <c r="S23" i="25"/>
  <c r="S22" i="25"/>
  <c r="S21" i="25"/>
  <c r="S19" i="25"/>
  <c r="S13" i="25"/>
  <c r="S12" i="25"/>
  <c r="S8" i="25"/>
  <c r="S7" i="25"/>
  <c r="Q22" i="25"/>
  <c r="Q21" i="25"/>
  <c r="Q19" i="25"/>
  <c r="Q16" i="25"/>
  <c r="Q12" i="25"/>
  <c r="Q9" i="25"/>
  <c r="Q7" i="25"/>
  <c r="Q8" i="25"/>
  <c r="E83" i="25" l="1"/>
  <c r="G61" i="25"/>
  <c r="F61" i="25"/>
  <c r="G59" i="25"/>
  <c r="H59" i="25" s="1"/>
  <c r="F59" i="25"/>
  <c r="D47" i="25"/>
  <c r="B54" i="25" s="1"/>
  <c r="C47" i="25"/>
  <c r="B53" i="25" s="1"/>
  <c r="B47" i="25"/>
  <c r="B52" i="25" s="1"/>
  <c r="E46" i="25"/>
  <c r="H52" i="25" s="1"/>
  <c r="F45" i="25"/>
  <c r="E45" i="25"/>
  <c r="P32" i="25"/>
  <c r="J30" i="24"/>
  <c r="I30" i="24"/>
  <c r="J17" i="24"/>
  <c r="I17" i="24"/>
  <c r="J14" i="24"/>
  <c r="I14" i="24"/>
  <c r="J8" i="24"/>
  <c r="J7" i="24" s="1"/>
  <c r="I8" i="24"/>
  <c r="E47" i="25" l="1"/>
  <c r="B55" i="25" s="1"/>
  <c r="I7" i="24"/>
  <c r="I6" i="24" s="1"/>
  <c r="G46" i="25"/>
  <c r="H46" i="25" s="1"/>
  <c r="H51" i="25"/>
  <c r="F83" i="25"/>
  <c r="G45" i="25"/>
  <c r="H45" i="25" s="1"/>
  <c r="F46" i="25"/>
  <c r="F47" i="25" s="1"/>
  <c r="B56" i="25" s="1"/>
  <c r="J6" i="24"/>
  <c r="I5" i="24" l="1"/>
  <c r="J5" i="24"/>
</calcChain>
</file>

<file path=xl/sharedStrings.xml><?xml version="1.0" encoding="utf-8"?>
<sst xmlns="http://schemas.openxmlformats.org/spreadsheetml/2006/main" count="189" uniqueCount="126">
  <si>
    <t>-</t>
  </si>
  <si>
    <t xml:space="preserve"> </t>
  </si>
  <si>
    <t>Бусад</t>
  </si>
  <si>
    <t>2012 I-XII</t>
  </si>
  <si>
    <t>2013 I-XII</t>
  </si>
  <si>
    <t>2014 I-XII</t>
  </si>
  <si>
    <t>2015 I-XII</t>
  </si>
  <si>
    <t>2016 I-XII</t>
  </si>
  <si>
    <t xml:space="preserve">            АЙМГИЙН НЭГДСЭН ТӨСВИЙН ОРЛОГО, оны үнээр, сая төгрөг</t>
  </si>
  <si>
    <t>ОРОН НУТГИЙН ТӨСВИЙН ОРЛОГО БА ТУСЛАМЖИЙН ДҮН</t>
  </si>
  <si>
    <t xml:space="preserve"> А.  УРСГАЛ ОРЛОГО</t>
  </si>
  <si>
    <t xml:space="preserve">     1. Татварын орлого</t>
  </si>
  <si>
    <t xml:space="preserve">   1.1  Орлогын албан татвар</t>
  </si>
  <si>
    <t xml:space="preserve">      а. Хувиараа аж ахуй    эрхлэгчдийн</t>
  </si>
  <si>
    <t xml:space="preserve">       б. Хөрөнгө борлуулсны орлого</t>
  </si>
  <si>
    <t xml:space="preserve">       в. Орлого тодорхойлох боломжгүй иргэний</t>
  </si>
  <si>
    <t xml:space="preserve">       г. Цалингийн ашиг</t>
  </si>
  <si>
    <t xml:space="preserve">       д. Үйл ажиллагааны орлого</t>
  </si>
  <si>
    <t xml:space="preserve">   1.2. Өмчийн татвар</t>
  </si>
  <si>
    <t xml:space="preserve">      ҮХЭХөрөнгийн, бууны татвар</t>
  </si>
  <si>
    <t xml:space="preserve">          авто өөрөө явагч хэрэгслэлийн</t>
  </si>
  <si>
    <t xml:space="preserve">   1.4.  Бусад татвар</t>
  </si>
  <si>
    <t xml:space="preserve">     а. Улсын тэмдэгтийн хураамж</t>
  </si>
  <si>
    <t xml:space="preserve">     б. Газрын төлбөр</t>
  </si>
  <si>
    <t xml:space="preserve">     в. Ойгоос хэрэглээний мод, түлээ ашигласны төлбөр</t>
  </si>
  <si>
    <t>г. Хайгуулын болон ашиглалтын лицензийн төлбөр</t>
  </si>
  <si>
    <t>д. Ашигт малтмалын нөөцийн төлбөр</t>
  </si>
  <si>
    <t xml:space="preserve">     е. Агнуурын нөөц ашигласны төлбөр</t>
  </si>
  <si>
    <t xml:space="preserve"> ё. Түгээмэл тархацтай а/м бусад нөөц ашигласны төлбөр</t>
  </si>
  <si>
    <t xml:space="preserve">   ж. Рашаан ус ашигласны төлбөр</t>
  </si>
  <si>
    <t xml:space="preserve">        Хог хаягдлын үйлчилгээний хураамж</t>
  </si>
  <si>
    <t>хөрөнгө борлуулсны орлого</t>
  </si>
  <si>
    <t>и. Алтны үнийн өсөлтийн албан татвар</t>
  </si>
  <si>
    <t xml:space="preserve">  2. Татварын бус орлого</t>
  </si>
  <si>
    <t xml:space="preserve">     а. Хувьцааны ноогдол ашиг</t>
  </si>
  <si>
    <t xml:space="preserve">     б. Хүү торгуулийн орлого</t>
  </si>
  <si>
    <t>Аймгийн төсвийн орлого</t>
  </si>
  <si>
    <t xml:space="preserve">     в. Төсөвт газрын өөрийн орлого</t>
  </si>
  <si>
    <t xml:space="preserve">     г. Нэр заагдаагүй орлого</t>
  </si>
  <si>
    <t xml:space="preserve">        АЙМГИЙН НЭГДСЭН ТӨСВИЙН ОРЛОГО, оны үнээр, сая төгрөг</t>
  </si>
  <si>
    <t xml:space="preserve">   Б. ХӨРӨНГИЙН ОРЛОГО</t>
  </si>
  <si>
    <t xml:space="preserve">       хөрөнгө худалдсаны орлого</t>
  </si>
  <si>
    <t xml:space="preserve"> В. ТУСЛАМЖИЙН ОРЛОГО</t>
  </si>
  <si>
    <t xml:space="preserve">    а. НӨАТ-ын шилжүүлэг</t>
  </si>
  <si>
    <t xml:space="preserve">    б. Улсын төсвийн санхүүгийн дэмжлэг</t>
  </si>
  <si>
    <t>Улсын төсвийн санхүүжилт</t>
  </si>
  <si>
    <t xml:space="preserve">  ААНБ-ын орлогын а/татвар</t>
  </si>
  <si>
    <t>2012 I</t>
  </si>
  <si>
    <t>2013 I</t>
  </si>
  <si>
    <t>2014 I</t>
  </si>
  <si>
    <t>2015 I</t>
  </si>
  <si>
    <t>2016 I</t>
  </si>
  <si>
    <t xml:space="preserve">  нэмэгдсэн өртгийн татвар</t>
  </si>
  <si>
    <t xml:space="preserve">  онцгой албан татвар</t>
  </si>
  <si>
    <t xml:space="preserve">    Ашигт малтмалын нөөц ашигласны  төлбөр</t>
  </si>
  <si>
    <t>Агаарын бохирдлын төлбөр</t>
  </si>
  <si>
    <t xml:space="preserve">                               АЙМГИЙН ТӨСВИЙН ОРЛОГО, сая төгрөг</t>
  </si>
  <si>
    <t xml:space="preserve">  Улсын төвлөрсөн төсөвт</t>
  </si>
  <si>
    <t xml:space="preserve">  Аймгийн төсөвт</t>
  </si>
  <si>
    <t xml:space="preserve">             УЛС, ОРОН НУТГИЙН ТӨСВИЙН ЗАРЛАГА, оны үнээр</t>
  </si>
  <si>
    <t>(сая төгрөг)</t>
  </si>
  <si>
    <t xml:space="preserve">                       \ нэр төрлөөр,  сая төгрөг \</t>
  </si>
  <si>
    <t>Зарлагын төрөл</t>
  </si>
  <si>
    <t xml:space="preserve">           Нэр төрөл</t>
  </si>
  <si>
    <t xml:space="preserve"> Нийт өглөг</t>
  </si>
  <si>
    <t xml:space="preserve">   Цалин хөлс</t>
  </si>
  <si>
    <t>БҮХ ЗАРЛАГЫН ДҮН</t>
  </si>
  <si>
    <t>Цалин хөлс</t>
  </si>
  <si>
    <t xml:space="preserve">   НДШ</t>
  </si>
  <si>
    <t xml:space="preserve">   Бусад зардал</t>
  </si>
  <si>
    <t>Нэг удаагийн тэтгэмж, шагнал, урамшуулал</t>
  </si>
  <si>
    <t xml:space="preserve">  Урсгал шилжүүлэг</t>
  </si>
  <si>
    <t xml:space="preserve">    Гэрэл цахилгаан</t>
  </si>
  <si>
    <t xml:space="preserve">     Халамжийн сан </t>
  </si>
  <si>
    <t xml:space="preserve">    Түлш, халаалт</t>
  </si>
  <si>
    <t xml:space="preserve">  Хөрөнгө оруулалт</t>
  </si>
  <si>
    <t xml:space="preserve">    Цэвэр бохир ус</t>
  </si>
  <si>
    <t xml:space="preserve">  Нийгмийн халамж үйлчилгээ</t>
  </si>
  <si>
    <t>Нормын хувцас, зөөлөн эдлэл</t>
  </si>
  <si>
    <t xml:space="preserve">     Махны нөөц</t>
  </si>
  <si>
    <t>Бичиг хэрэг</t>
  </si>
  <si>
    <t xml:space="preserve">     Замын сан</t>
  </si>
  <si>
    <t xml:space="preserve">    Тээвэр, шатахуун</t>
  </si>
  <si>
    <t>БҮТЭЗ</t>
  </si>
  <si>
    <t xml:space="preserve">  Их засвар</t>
  </si>
  <si>
    <t xml:space="preserve">     Шуудан холбоо</t>
  </si>
  <si>
    <t>Төсөвт         Өглөг</t>
  </si>
  <si>
    <t xml:space="preserve">     Албан томилолт</t>
  </si>
  <si>
    <t>байгуу-ын    Авлага</t>
  </si>
  <si>
    <t xml:space="preserve">     Хоол хүнс</t>
  </si>
  <si>
    <t>Орон нутаг</t>
  </si>
  <si>
    <t xml:space="preserve">     Эм, бэлдмэл, эмнэлэгийн хэрэгслэл</t>
  </si>
  <si>
    <t>Боловсрол, соёл</t>
  </si>
  <si>
    <t xml:space="preserve">     Бусад зардал</t>
  </si>
  <si>
    <t>Эрүүл мэнд, спорт</t>
  </si>
  <si>
    <t xml:space="preserve">     Урсгал засвар</t>
  </si>
  <si>
    <t>Барилга, хот байгуулалт</t>
  </si>
  <si>
    <t xml:space="preserve">     Байрны түрээс</t>
  </si>
  <si>
    <t>Хүн амын хөгжил, нийгмийн хамгаалал</t>
  </si>
  <si>
    <t>Төрөөс иргэдэд олгох тэтгэмж, урамшуулал</t>
  </si>
  <si>
    <t>Тэтгэвэрт гарахад олгох нэг удаагийн мөнгөн тэтгэмж</t>
  </si>
  <si>
    <t>Авлага</t>
  </si>
  <si>
    <t xml:space="preserve">      * Төсвийн зардалд Улсын төсөвт өгсөн шилжүүлгийг оруулаагүй</t>
  </si>
  <si>
    <t>Төсвийн орлого, зарлагын өсөлт  /</t>
  </si>
  <si>
    <t>Улаанд хүрч болохгүй</t>
  </si>
  <si>
    <t>ТӨСВИЙН ОРЛОГО</t>
  </si>
  <si>
    <t>ТӨСВИЙН ЗАРЛАГА</t>
  </si>
  <si>
    <t>ЭЗЛЭХ ХУВЬ</t>
  </si>
  <si>
    <t xml:space="preserve">   төсвийн зарлагад орлогын эзлэх хувь, хувиар</t>
  </si>
  <si>
    <t>.</t>
  </si>
  <si>
    <t>Өглөг/сая,төг/</t>
  </si>
  <si>
    <t>Тусгай зориулалтын шилжүүлэгээс санхүүжих</t>
  </si>
  <si>
    <t>хувьцааны ноогдол татвар</t>
  </si>
  <si>
    <t xml:space="preserve">  ТӨСӨВТ БАЙГУУЛЛАГЫН ӨГЛӨГ, </t>
  </si>
  <si>
    <t>өглөг үүссэн өдрөөс 31-60 өдөр</t>
  </si>
  <si>
    <t>61-120 өдөр</t>
  </si>
  <si>
    <t xml:space="preserve">121 өдрөөс дээш </t>
  </si>
  <si>
    <t>12-р төлөгдсөн өр</t>
  </si>
  <si>
    <t>шинээр бий болсон өр</t>
  </si>
  <si>
    <t xml:space="preserve"> -</t>
  </si>
  <si>
    <r>
      <rPr>
        <sz val="12"/>
        <color theme="1"/>
        <rFont val="Arial"/>
        <family val="2"/>
      </rPr>
      <t>Улсын төвлөрсөн төсөвт төвлөрүүлэх орлогын төлөвлөгөөний биелэлт</t>
    </r>
    <r>
      <rPr>
        <sz val="11"/>
        <color theme="1"/>
        <rFont val="Arial"/>
        <family val="2"/>
      </rPr>
      <t>, оны үнээр</t>
    </r>
  </si>
  <si>
    <t xml:space="preserve">             УЛС, ОРОН НУТГИЙН ТӨСВИЙН ЗАРЛАГА</t>
  </si>
  <si>
    <t xml:space="preserve">Зарлагын төрөл </t>
  </si>
  <si>
    <t>сая.төг</t>
  </si>
  <si>
    <t>Төсөвт                Өглөг</t>
  </si>
  <si>
    <t>байгууллагын    Авлага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</si>
</sst>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_-* #,##0.00_₮_-;\-* #,##0.00_₮_-;_-* &quot;-&quot;??_₮_-;_-@_-"/>
    <numFmt numFmtId="166" formatCode="_-* #,##0.0_₮_-;\-* #,##0.0_₮_-;_-* &quot;-&quot;??_₮_-;_-@_-"/>
    <numFmt numFmtId="167" formatCode="_-* #,##0.0_₮_-;\-* #,##0.0_₮_-;_-* &quot;-&quot;?_₮_-;_-@_-"/>
    <numFmt numFmtId="168" formatCode="_(* #,##0.0_);_(* \(#,##0.0\);_(* &quot;-&quot;?_);_(@_)"/>
    <numFmt numFmtId="169" formatCode="0.0;[Red]0.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 Mon"/>
      <family val="2"/>
    </font>
    <font>
      <sz val="11"/>
      <color theme="1"/>
      <name val="Arial"/>
      <family val="2"/>
      <charset val="204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GOpus Mon"/>
    </font>
    <font>
      <b/>
      <i/>
      <sz val="11"/>
      <name val="Arial"/>
      <family val="2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</font>
    <font>
      <sz val="10"/>
      <color theme="1"/>
      <name val="AGBenguiat Mon"/>
      <family val="2"/>
    </font>
    <font>
      <sz val="10"/>
      <color theme="1"/>
      <name val="Arial Mon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479E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rgb="FF17479E"/>
      </right>
      <top/>
      <bottom/>
      <diagonal/>
    </border>
    <border>
      <left/>
      <right style="thin">
        <color rgb="FF17479E"/>
      </right>
      <top/>
      <bottom style="thin">
        <color rgb="FF17479E"/>
      </bottom>
      <diagonal/>
    </border>
    <border>
      <left/>
      <right style="thin">
        <color rgb="FF17479E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rgb="FF17479E"/>
      </right>
      <top style="thin">
        <color theme="0"/>
      </top>
      <bottom/>
      <diagonal/>
    </border>
    <border>
      <left/>
      <right/>
      <top/>
      <bottom style="thin">
        <color rgb="FF17479E"/>
      </bottom>
      <diagonal/>
    </border>
  </borders>
  <cellStyleXfs count="32">
    <xf numFmtId="0" fontId="0" fillId="0" borderId="0"/>
    <xf numFmtId="0" fontId="4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6" fillId="0" borderId="0"/>
  </cellStyleXfs>
  <cellXfs count="419">
    <xf numFmtId="0" fontId="0" fillId="0" borderId="0" xfId="0"/>
    <xf numFmtId="0" fontId="2" fillId="0" borderId="0" xfId="0" applyFont="1" applyBorder="1"/>
    <xf numFmtId="164" fontId="2" fillId="0" borderId="0" xfId="0" applyNumberFormat="1" applyFont="1"/>
    <xf numFmtId="0" fontId="3" fillId="0" borderId="0" xfId="0" applyFont="1"/>
    <xf numFmtId="0" fontId="8" fillId="0" borderId="0" xfId="0" applyFont="1" applyBorder="1"/>
    <xf numFmtId="0" fontId="3" fillId="0" borderId="0" xfId="0" applyFont="1" applyBorder="1" applyAlignment="1"/>
    <xf numFmtId="0" fontId="10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3" fillId="0" borderId="7" xfId="0" applyFont="1" applyBorder="1"/>
    <xf numFmtId="0" fontId="8" fillId="2" borderId="0" xfId="0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horizontal="left"/>
    </xf>
    <xf numFmtId="164" fontId="14" fillId="2" borderId="0" xfId="0" applyNumberFormat="1" applyFont="1" applyFill="1"/>
    <xf numFmtId="0" fontId="14" fillId="2" borderId="0" xfId="0" applyFont="1" applyFill="1" applyBorder="1"/>
    <xf numFmtId="0" fontId="9" fillId="2" borderId="0" xfId="0" applyFont="1" applyFill="1" applyAlignment="1">
      <alignment wrapText="1"/>
    </xf>
    <xf numFmtId="164" fontId="8" fillId="2" borderId="0" xfId="0" applyNumberFormat="1" applyFont="1" applyFill="1"/>
    <xf numFmtId="0" fontId="8" fillId="2" borderId="0" xfId="0" applyFont="1" applyFill="1"/>
    <xf numFmtId="0" fontId="8" fillId="2" borderId="6" xfId="0" applyFont="1" applyFill="1" applyBorder="1"/>
    <xf numFmtId="0" fontId="8" fillId="2" borderId="0" xfId="0" applyFont="1" applyFill="1" applyBorder="1"/>
    <xf numFmtId="0" fontId="8" fillId="2" borderId="0" xfId="0" applyFont="1" applyFill="1" applyAlignment="1">
      <alignment wrapText="1"/>
    </xf>
    <xf numFmtId="164" fontId="8" fillId="2" borderId="0" xfId="0" applyNumberFormat="1" applyFont="1" applyFill="1" applyBorder="1"/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top" wrapText="1"/>
    </xf>
    <xf numFmtId="164" fontId="14" fillId="2" borderId="0" xfId="0" applyNumberFormat="1" applyFont="1" applyFill="1" applyBorder="1"/>
    <xf numFmtId="0" fontId="8" fillId="2" borderId="0" xfId="0" applyFont="1" applyFill="1" applyAlignment="1">
      <alignment horizontal="left" wrapText="1"/>
    </xf>
    <xf numFmtId="164" fontId="9" fillId="2" borderId="2" xfId="0" applyNumberFormat="1" applyFont="1" applyFill="1" applyBorder="1" applyProtection="1"/>
    <xf numFmtId="164" fontId="8" fillId="2" borderId="0" xfId="0" applyNumberFormat="1" applyFont="1" applyFill="1" applyAlignment="1">
      <alignment horizontal="left"/>
    </xf>
    <xf numFmtId="0" fontId="8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164" fontId="9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164" fontId="5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vertical="center"/>
    </xf>
    <xf numFmtId="164" fontId="8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17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Protection="1"/>
    <xf numFmtId="164" fontId="9" fillId="2" borderId="0" xfId="0" applyNumberFormat="1" applyFont="1" applyFill="1" applyBorder="1"/>
    <xf numFmtId="0" fontId="14" fillId="2" borderId="3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/>
    <xf numFmtId="164" fontId="15" fillId="2" borderId="0" xfId="0" applyNumberFormat="1" applyFont="1" applyFill="1"/>
    <xf numFmtId="2" fontId="16" fillId="2" borderId="0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164" fontId="8" fillId="2" borderId="0" xfId="0" applyNumberFormat="1" applyFont="1" applyFill="1" applyBorder="1" applyAlignment="1" applyProtection="1">
      <alignment vertical="center"/>
    </xf>
    <xf numFmtId="0" fontId="13" fillId="2" borderId="0" xfId="0" applyFont="1" applyFill="1" applyBorder="1"/>
    <xf numFmtId="0" fontId="8" fillId="2" borderId="0" xfId="0" applyFont="1" applyFill="1" applyBorder="1" applyAlignment="1">
      <alignment horizontal="center" textRotation="90" wrapText="1"/>
    </xf>
    <xf numFmtId="164" fontId="8" fillId="2" borderId="0" xfId="0" applyNumberFormat="1" applyFont="1" applyFill="1" applyBorder="1" applyAlignment="1">
      <alignment horizontal="left"/>
    </xf>
    <xf numFmtId="166" fontId="8" fillId="2" borderId="0" xfId="2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/>
    <xf numFmtId="0" fontId="3" fillId="0" borderId="0" xfId="0" applyFont="1" applyAlignment="1">
      <alignment horizontal="left"/>
    </xf>
    <xf numFmtId="164" fontId="3" fillId="0" borderId="7" xfId="0" applyNumberFormat="1" applyFont="1" applyBorder="1"/>
    <xf numFmtId="0" fontId="11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2" applyNumberFormat="1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/>
    <xf numFmtId="164" fontId="20" fillId="0" borderId="0" xfId="0" applyNumberFormat="1" applyFont="1"/>
    <xf numFmtId="164" fontId="2" fillId="0" borderId="0" xfId="0" applyNumberFormat="1" applyFont="1" applyAlignment="1">
      <alignment horizontal="right"/>
    </xf>
    <xf numFmtId="2" fontId="3" fillId="0" borderId="0" xfId="2" applyNumberFormat="1" applyFont="1"/>
    <xf numFmtId="0" fontId="3" fillId="0" borderId="0" xfId="0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0" fontId="21" fillId="0" borderId="0" xfId="0" applyFont="1" applyBorder="1"/>
    <xf numFmtId="0" fontId="3" fillId="2" borderId="0" xfId="0" applyFont="1" applyFill="1" applyBorder="1"/>
    <xf numFmtId="164" fontId="3" fillId="0" borderId="0" xfId="0" applyNumberFormat="1" applyFont="1" applyBorder="1" applyAlignment="1">
      <alignment horizontal="right"/>
    </xf>
    <xf numFmtId="164" fontId="10" fillId="0" borderId="0" xfId="0" applyNumberFormat="1" applyFont="1" applyBorder="1"/>
    <xf numFmtId="164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/>
    <xf numFmtId="0" fontId="22" fillId="0" borderId="0" xfId="0" applyFont="1"/>
    <xf numFmtId="164" fontId="1" fillId="0" borderId="0" xfId="0" applyNumberFormat="1" applyFont="1" applyBorder="1"/>
    <xf numFmtId="164" fontId="23" fillId="0" borderId="0" xfId="0" applyNumberFormat="1" applyFont="1" applyBorder="1" applyProtection="1"/>
    <xf numFmtId="164" fontId="2" fillId="0" borderId="0" xfId="0" applyNumberFormat="1" applyFont="1" applyBorder="1"/>
    <xf numFmtId="0" fontId="3" fillId="0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5" xfId="0" applyFont="1" applyFill="1" applyBorder="1" applyAlignment="1">
      <alignment horizontal="left"/>
    </xf>
    <xf numFmtId="2" fontId="3" fillId="2" borderId="9" xfId="0" applyNumberFormat="1" applyFont="1" applyFill="1" applyBorder="1"/>
    <xf numFmtId="2" fontId="3" fillId="2" borderId="19" xfId="0" applyNumberFormat="1" applyFont="1" applyFill="1" applyBorder="1"/>
    <xf numFmtId="2" fontId="3" fillId="2" borderId="20" xfId="0" applyNumberFormat="1" applyFont="1" applyFill="1" applyBorder="1"/>
    <xf numFmtId="0" fontId="3" fillId="0" borderId="9" xfId="0" applyFont="1" applyBorder="1"/>
    <xf numFmtId="0" fontId="3" fillId="2" borderId="1" xfId="0" applyFont="1" applyFill="1" applyBorder="1" applyAlignment="1">
      <alignment horizontal="left"/>
    </xf>
    <xf numFmtId="164" fontId="9" fillId="2" borderId="1" xfId="0" applyNumberFormat="1" applyFont="1" applyFill="1" applyBorder="1" applyProtection="1"/>
    <xf numFmtId="164" fontId="16" fillId="2" borderId="2" xfId="0" applyNumberFormat="1" applyFont="1" applyFill="1" applyBorder="1" applyProtection="1"/>
    <xf numFmtId="0" fontId="3" fillId="2" borderId="15" xfId="0" applyFont="1" applyFill="1" applyBorder="1" applyAlignment="1">
      <alignment horizontal="left"/>
    </xf>
    <xf numFmtId="164" fontId="24" fillId="2" borderId="14" xfId="0" applyNumberFormat="1" applyFont="1" applyFill="1" applyBorder="1"/>
    <xf numFmtId="164" fontId="24" fillId="2" borderId="7" xfId="0" applyNumberFormat="1" applyFont="1" applyFill="1" applyBorder="1"/>
    <xf numFmtId="164" fontId="23" fillId="2" borderId="14" xfId="0" applyNumberFormat="1" applyFont="1" applyFill="1" applyBorder="1"/>
    <xf numFmtId="164" fontId="23" fillId="2" borderId="16" xfId="0" applyNumberFormat="1" applyFont="1" applyFill="1" applyBorder="1"/>
    <xf numFmtId="0" fontId="3" fillId="2" borderId="10" xfId="0" applyFont="1" applyFill="1" applyBorder="1" applyAlignment="1">
      <alignment horizontal="left"/>
    </xf>
    <xf numFmtId="164" fontId="24" fillId="2" borderId="12" xfId="0" applyNumberFormat="1" applyFont="1" applyFill="1" applyBorder="1"/>
    <xf numFmtId="164" fontId="24" fillId="2" borderId="8" xfId="0" applyNumberFormat="1" applyFont="1" applyFill="1" applyBorder="1"/>
    <xf numFmtId="164" fontId="24" fillId="2" borderId="11" xfId="0" applyNumberFormat="1" applyFont="1" applyFill="1" applyBorder="1"/>
    <xf numFmtId="164" fontId="24" fillId="2" borderId="17" xfId="0" applyNumberFormat="1" applyFont="1" applyFill="1" applyBorder="1"/>
    <xf numFmtId="0" fontId="3" fillId="2" borderId="2" xfId="0" applyFont="1" applyFill="1" applyBorder="1" applyAlignment="1"/>
    <xf numFmtId="164" fontId="3" fillId="2" borderId="2" xfId="0" applyNumberFormat="1" applyFont="1" applyFill="1" applyBorder="1"/>
    <xf numFmtId="164" fontId="3" fillId="2" borderId="4" xfId="0" applyNumberFormat="1" applyFont="1" applyFill="1" applyBorder="1"/>
    <xf numFmtId="164" fontId="3" fillId="2" borderId="4" xfId="0" applyNumberFormat="1" applyFont="1" applyFill="1" applyBorder="1" applyAlignment="1">
      <alignment horizontal="right"/>
    </xf>
    <xf numFmtId="0" fontId="3" fillId="2" borderId="14" xfId="0" applyFont="1" applyFill="1" applyBorder="1" applyAlignment="1"/>
    <xf numFmtId="0" fontId="3" fillId="2" borderId="14" xfId="0" applyFont="1" applyFill="1" applyBorder="1"/>
    <xf numFmtId="164" fontId="3" fillId="2" borderId="16" xfId="0" applyNumberFormat="1" applyFont="1" applyFill="1" applyBorder="1" applyAlignment="1">
      <alignment horizontal="right"/>
    </xf>
    <xf numFmtId="164" fontId="3" fillId="2" borderId="16" xfId="0" applyNumberFormat="1" applyFont="1" applyFill="1" applyBorder="1"/>
    <xf numFmtId="164" fontId="3" fillId="2" borderId="0" xfId="0" applyNumberFormat="1" applyFont="1" applyFill="1"/>
    <xf numFmtId="2" fontId="3" fillId="0" borderId="9" xfId="0" applyNumberFormat="1" applyFont="1" applyBorder="1" applyAlignment="1">
      <alignment horizontal="left"/>
    </xf>
    <xf numFmtId="164" fontId="2" fillId="0" borderId="8" xfId="0" applyNumberFormat="1" applyFont="1" applyBorder="1"/>
    <xf numFmtId="2" fontId="3" fillId="0" borderId="2" xfId="0" applyNumberFormat="1" applyFont="1" applyBorder="1" applyAlignment="1">
      <alignment horizontal="left"/>
    </xf>
    <xf numFmtId="164" fontId="2" fillId="0" borderId="4" xfId="0" applyNumberFormat="1" applyFont="1" applyBorder="1"/>
    <xf numFmtId="2" fontId="3" fillId="0" borderId="14" xfId="0" applyNumberFormat="1" applyFont="1" applyBorder="1" applyAlignment="1">
      <alignment horizontal="left"/>
    </xf>
    <xf numFmtId="164" fontId="2" fillId="0" borderId="16" xfId="0" applyNumberFormat="1" applyFont="1" applyBorder="1"/>
    <xf numFmtId="0" fontId="2" fillId="0" borderId="0" xfId="0" applyFont="1" applyAlignment="1">
      <alignment horizontal="left"/>
    </xf>
    <xf numFmtId="2" fontId="3" fillId="2" borderId="13" xfId="0" applyNumberFormat="1" applyFont="1" applyFill="1" applyBorder="1"/>
    <xf numFmtId="2" fontId="10" fillId="2" borderId="13" xfId="0" applyNumberFormat="1" applyFont="1" applyFill="1" applyBorder="1"/>
    <xf numFmtId="0" fontId="3" fillId="0" borderId="13" xfId="0" applyFont="1" applyBorder="1" applyAlignment="1">
      <alignment horizontal="left" vertical="center" wrapText="1"/>
    </xf>
    <xf numFmtId="164" fontId="24" fillId="2" borderId="13" xfId="0" applyNumberFormat="1" applyFont="1" applyFill="1" applyBorder="1" applyAlignment="1">
      <alignment vertical="center"/>
    </xf>
    <xf numFmtId="164" fontId="23" fillId="2" borderId="1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10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164" fontId="3" fillId="2" borderId="0" xfId="0" applyNumberFormat="1" applyFont="1" applyFill="1" applyBorder="1"/>
    <xf numFmtId="165" fontId="3" fillId="0" borderId="0" xfId="2" applyNumberFormat="1" applyFont="1" applyBorder="1"/>
    <xf numFmtId="0" fontId="8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Alignment="1">
      <alignment horizontal="left" wrapText="1"/>
    </xf>
    <xf numFmtId="17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8" fillId="2" borderId="3" xfId="0" applyFont="1" applyFill="1" applyBorder="1" applyAlignment="1">
      <alignment vertical="center"/>
    </xf>
    <xf numFmtId="0" fontId="7" fillId="2" borderId="6" xfId="0" applyFont="1" applyFill="1" applyBorder="1"/>
    <xf numFmtId="0" fontId="5" fillId="2" borderId="0" xfId="0" applyFont="1" applyFill="1" applyBorder="1"/>
    <xf numFmtId="0" fontId="5" fillId="2" borderId="7" xfId="0" applyFont="1" applyFill="1" applyBorder="1"/>
    <xf numFmtId="0" fontId="14" fillId="2" borderId="0" xfId="0" applyFont="1" applyFill="1" applyAlignment="1">
      <alignment horizontal="right" vertical="center"/>
    </xf>
    <xf numFmtId="2" fontId="8" fillId="2" borderId="0" xfId="0" applyNumberFormat="1" applyFont="1" applyFill="1" applyBorder="1"/>
    <xf numFmtId="164" fontId="16" fillId="2" borderId="0" xfId="0" applyNumberFormat="1" applyFont="1" applyFill="1" applyBorder="1"/>
    <xf numFmtId="1" fontId="14" fillId="2" borderId="0" xfId="0" applyNumberFormat="1" applyFont="1" applyFill="1" applyBorder="1"/>
    <xf numFmtId="2" fontId="8" fillId="2" borderId="0" xfId="0" applyNumberFormat="1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 horizontal="center" vertical="center"/>
    </xf>
    <xf numFmtId="167" fontId="8" fillId="2" borderId="0" xfId="0" applyNumberFormat="1" applyFont="1" applyFill="1" applyBorder="1" applyAlignment="1">
      <alignment horizontal="left"/>
    </xf>
    <xf numFmtId="166" fontId="19" fillId="2" borderId="0" xfId="2" applyNumberFormat="1" applyFont="1" applyFill="1" applyBorder="1" applyAlignment="1">
      <alignment vertical="center"/>
    </xf>
    <xf numFmtId="168" fontId="8" fillId="2" borderId="0" xfId="0" applyNumberFormat="1" applyFont="1" applyFill="1" applyBorder="1"/>
    <xf numFmtId="164" fontId="7" fillId="2" borderId="0" xfId="0" applyNumberFormat="1" applyFont="1" applyFill="1" applyBorder="1"/>
    <xf numFmtId="0" fontId="14" fillId="2" borderId="6" xfId="0" applyFont="1" applyFill="1" applyBorder="1"/>
    <xf numFmtId="164" fontId="8" fillId="2" borderId="6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2" borderId="0" xfId="0" applyFont="1" applyFill="1" applyAlignment="1">
      <alignment vertical="center" wrapText="1"/>
    </xf>
    <xf numFmtId="164" fontId="9" fillId="2" borderId="0" xfId="0" applyNumberFormat="1" applyFont="1" applyFill="1" applyAlignment="1">
      <alignment vertical="center" wrapText="1"/>
    </xf>
    <xf numFmtId="164" fontId="9" fillId="2" borderId="0" xfId="0" applyNumberFormat="1" applyFont="1" applyFill="1" applyAlignment="1">
      <alignment vertical="center"/>
    </xf>
    <xf numFmtId="164" fontId="8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vertical="center"/>
    </xf>
    <xf numFmtId="0" fontId="8" fillId="2" borderId="3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wrapText="1"/>
    </xf>
    <xf numFmtId="0" fontId="14" fillId="2" borderId="0" xfId="0" applyFont="1" applyFill="1" applyAlignment="1">
      <alignment horizontal="right"/>
    </xf>
    <xf numFmtId="164" fontId="8" fillId="2" borderId="0" xfId="0" applyNumberFormat="1" applyFont="1" applyFill="1" applyBorder="1" applyAlignment="1">
      <alignment horizontal="right" vertical="center" shrinkToFit="1"/>
    </xf>
    <xf numFmtId="0" fontId="14" fillId="2" borderId="6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164" fontId="18" fillId="2" borderId="0" xfId="0" applyNumberFormat="1" applyFont="1" applyFill="1" applyBorder="1" applyAlignment="1">
      <alignment horizontal="right"/>
    </xf>
    <xf numFmtId="164" fontId="9" fillId="0" borderId="7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8" fillId="0" borderId="7" xfId="0" applyFont="1" applyBorder="1" applyAlignment="1">
      <alignment horizontal="right"/>
    </xf>
    <xf numFmtId="164" fontId="5" fillId="0" borderId="0" xfId="0" applyNumberFormat="1" applyFont="1" applyAlignment="1">
      <alignment horizontal="right" vertical="center"/>
    </xf>
    <xf numFmtId="0" fontId="8" fillId="0" borderId="0" xfId="0" applyFont="1"/>
    <xf numFmtId="164" fontId="15" fillId="0" borderId="0" xfId="0" applyNumberFormat="1" applyFont="1"/>
    <xf numFmtId="0" fontId="15" fillId="0" borderId="0" xfId="0" applyFont="1"/>
    <xf numFmtId="0" fontId="8" fillId="0" borderId="7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5" fillId="0" borderId="0" xfId="2" applyNumberFormat="1" applyFont="1" applyBorder="1" applyAlignment="1">
      <alignment horizontal="right" vertical="center"/>
    </xf>
    <xf numFmtId="164" fontId="5" fillId="2" borderId="0" xfId="2" applyNumberFormat="1" applyFont="1" applyFill="1" applyBorder="1" applyAlignment="1">
      <alignment horizontal="right" vertical="center"/>
    </xf>
    <xf numFmtId="164" fontId="5" fillId="0" borderId="7" xfId="2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8" fillId="0" borderId="6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 vertical="center" wrapText="1"/>
    </xf>
    <xf numFmtId="165" fontId="8" fillId="0" borderId="0" xfId="2" applyNumberFormat="1" applyFont="1" applyAlignment="1">
      <alignment horizontal="right"/>
    </xf>
    <xf numFmtId="164" fontId="8" fillId="0" borderId="6" xfId="0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3" fillId="0" borderId="23" xfId="0" applyFont="1" applyBorder="1"/>
    <xf numFmtId="0" fontId="8" fillId="0" borderId="0" xfId="0" applyFont="1" applyAlignment="1">
      <alignment vertical="center"/>
    </xf>
    <xf numFmtId="164" fontId="8" fillId="0" borderId="3" xfId="2" applyNumberFormat="1" applyFont="1" applyBorder="1" applyAlignment="1">
      <alignment horizontal="right" vertical="center"/>
    </xf>
    <xf numFmtId="0" fontId="8" fillId="0" borderId="0" xfId="0" applyFont="1" applyAlignment="1"/>
    <xf numFmtId="164" fontId="8" fillId="0" borderId="3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/>
    </xf>
    <xf numFmtId="167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164" fontId="10" fillId="0" borderId="0" xfId="0" applyNumberFormat="1" applyFont="1" applyBorder="1" applyAlignment="1" applyProtection="1">
      <alignment horizontal="right"/>
    </xf>
    <xf numFmtId="0" fontId="9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3" fillId="0" borderId="23" xfId="0" applyFont="1" applyBorder="1" applyAlignment="1">
      <alignment horizontal="left"/>
    </xf>
    <xf numFmtId="1" fontId="3" fillId="0" borderId="23" xfId="0" applyNumberFormat="1" applyFont="1" applyBorder="1"/>
    <xf numFmtId="0" fontId="8" fillId="0" borderId="23" xfId="0" applyFont="1" applyBorder="1" applyAlignment="1">
      <alignment horizontal="left"/>
    </xf>
    <xf numFmtId="0" fontId="8" fillId="0" borderId="23" xfId="0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right" vertical="center"/>
    </xf>
    <xf numFmtId="164" fontId="8" fillId="0" borderId="23" xfId="0" applyNumberFormat="1" applyFont="1" applyBorder="1" applyAlignment="1">
      <alignment horizontal="right" vertical="center"/>
    </xf>
    <xf numFmtId="164" fontId="5" fillId="2" borderId="0" xfId="0" applyNumberFormat="1" applyFont="1" applyFill="1" applyBorder="1" applyAlignment="1">
      <alignment vertical="center"/>
    </xf>
    <xf numFmtId="0" fontId="8" fillId="2" borderId="23" xfId="0" applyFont="1" applyFill="1" applyBorder="1" applyAlignment="1">
      <alignment wrapText="1"/>
    </xf>
    <xf numFmtId="0" fontId="8" fillId="2" borderId="23" xfId="0" applyFont="1" applyFill="1" applyBorder="1" applyAlignment="1">
      <alignment vertical="center" wrapText="1"/>
    </xf>
    <xf numFmtId="164" fontId="8" fillId="2" borderId="23" xfId="0" applyNumberFormat="1" applyFont="1" applyFill="1" applyBorder="1" applyAlignment="1">
      <alignment vertical="center"/>
    </xf>
    <xf numFmtId="164" fontId="5" fillId="2" borderId="23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14" fillId="2" borderId="6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wrapText="1"/>
    </xf>
    <xf numFmtId="0" fontId="3" fillId="0" borderId="33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164" fontId="7" fillId="2" borderId="0" xfId="0" applyNumberFormat="1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/>
    </xf>
    <xf numFmtId="164" fontId="15" fillId="2" borderId="0" xfId="0" applyNumberFormat="1" applyFont="1" applyFill="1" applyAlignment="1">
      <alignment horizontal="right" vertical="center"/>
    </xf>
    <xf numFmtId="164" fontId="26" fillId="2" borderId="0" xfId="0" applyNumberFormat="1" applyFont="1" applyFill="1" applyBorder="1" applyAlignment="1">
      <alignment horizontal="right" vertical="center"/>
    </xf>
    <xf numFmtId="164" fontId="26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8" fillId="0" borderId="3" xfId="0" applyFont="1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14" fillId="2" borderId="23" xfId="0" applyFont="1" applyFill="1" applyBorder="1"/>
    <xf numFmtId="0" fontId="8" fillId="2" borderId="3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right" vertical="center"/>
    </xf>
    <xf numFmtId="0" fontId="14" fillId="2" borderId="36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horizontal="right" vertical="center"/>
    </xf>
    <xf numFmtId="0" fontId="14" fillId="2" borderId="6" xfId="0" applyFont="1" applyFill="1" applyBorder="1" applyAlignment="1">
      <alignment horizontal="right" vertical="center"/>
    </xf>
    <xf numFmtId="0" fontId="14" fillId="2" borderId="7" xfId="0" applyFont="1" applyFill="1" applyBorder="1" applyAlignment="1">
      <alignment horizontal="right" vertical="center"/>
    </xf>
    <xf numFmtId="0" fontId="8" fillId="2" borderId="0" xfId="0" applyFont="1" applyFill="1" applyAlignment="1">
      <alignment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textRotation="90" wrapText="1"/>
    </xf>
    <xf numFmtId="0" fontId="8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8" fillId="2" borderId="8" xfId="0" applyFont="1" applyFill="1" applyBorder="1"/>
    <xf numFmtId="0" fontId="8" fillId="2" borderId="16" xfId="0" applyFont="1" applyFill="1" applyBorder="1"/>
    <xf numFmtId="0" fontId="13" fillId="2" borderId="0" xfId="0" applyFont="1" applyFill="1" applyAlignment="1">
      <alignment horizontal="center" textRotation="90" wrapText="1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4" fontId="8" fillId="2" borderId="0" xfId="0" applyNumberFormat="1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0" fontId="8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69" fontId="7" fillId="2" borderId="37" xfId="0" applyNumberFormat="1" applyFont="1" applyFill="1" applyBorder="1" applyAlignment="1">
      <alignment horizontal="right" vertical="center"/>
    </xf>
    <xf numFmtId="169" fontId="5" fillId="2" borderId="0" xfId="0" applyNumberFormat="1" applyFont="1" applyFill="1" applyAlignment="1">
      <alignment horizontal="right" vertical="center"/>
    </xf>
    <xf numFmtId="169" fontId="5" fillId="2" borderId="38" xfId="0" applyNumberFormat="1" applyFont="1" applyFill="1" applyBorder="1" applyAlignment="1">
      <alignment horizontal="right" vertical="center"/>
    </xf>
    <xf numFmtId="169" fontId="5" fillId="2" borderId="38" xfId="0" applyNumberFormat="1" applyFont="1" applyFill="1" applyBorder="1" applyAlignment="1">
      <alignment horizontal="right" vertical="center" wrapText="1"/>
    </xf>
    <xf numFmtId="169" fontId="5" fillId="2" borderId="0" xfId="0" applyNumberFormat="1" applyFont="1" applyFill="1" applyBorder="1" applyAlignment="1">
      <alignment horizontal="right" vertical="center"/>
    </xf>
    <xf numFmtId="169" fontId="5" fillId="2" borderId="0" xfId="0" applyNumberFormat="1" applyFont="1" applyFill="1" applyBorder="1" applyAlignment="1">
      <alignment horizontal="right"/>
    </xf>
    <xf numFmtId="164" fontId="5" fillId="2" borderId="23" xfId="0" applyNumberFormat="1" applyFont="1" applyFill="1" applyBorder="1" applyAlignment="1">
      <alignment horizontal="right" vertical="center"/>
    </xf>
    <xf numFmtId="169" fontId="5" fillId="2" borderId="40" xfId="0" applyNumberFormat="1" applyFont="1" applyFill="1" applyBorder="1" applyAlignment="1">
      <alignment horizontal="right" vertical="center"/>
    </xf>
    <xf numFmtId="0" fontId="14" fillId="2" borderId="23" xfId="0" applyFont="1" applyFill="1" applyBorder="1" applyAlignment="1">
      <alignment horizontal="right" vertical="center"/>
    </xf>
    <xf numFmtId="0" fontId="14" fillId="2" borderId="23" xfId="0" applyFont="1" applyFill="1" applyBorder="1" applyAlignment="1">
      <alignment vertical="center"/>
    </xf>
    <xf numFmtId="164" fontId="25" fillId="2" borderId="0" xfId="0" applyNumberFormat="1" applyFont="1" applyFill="1" applyBorder="1" applyAlignment="1">
      <alignment horizontal="right" vertical="center"/>
    </xf>
    <xf numFmtId="164" fontId="5" fillId="2" borderId="42" xfId="0" applyNumberFormat="1" applyFont="1" applyFill="1" applyBorder="1" applyAlignment="1">
      <alignment horizontal="right"/>
    </xf>
    <xf numFmtId="164" fontId="5" fillId="2" borderId="33" xfId="0" applyNumberFormat="1" applyFont="1" applyFill="1" applyBorder="1" applyAlignment="1">
      <alignment horizontal="right"/>
    </xf>
    <xf numFmtId="0" fontId="8" fillId="2" borderId="20" xfId="0" applyFont="1" applyFill="1" applyBorder="1" applyAlignment="1">
      <alignment horizontal="right" vertical="center"/>
    </xf>
    <xf numFmtId="0" fontId="8" fillId="2" borderId="43" xfId="0" applyFont="1" applyFill="1" applyBorder="1" applyAlignment="1">
      <alignment horizontal="right" vertical="center"/>
    </xf>
    <xf numFmtId="0" fontId="9" fillId="2" borderId="41" xfId="0" applyFont="1" applyFill="1" applyBorder="1" applyAlignment="1">
      <alignment horizontal="right" vertical="center" wrapText="1"/>
    </xf>
    <xf numFmtId="0" fontId="8" fillId="2" borderId="41" xfId="0" applyFont="1" applyFill="1" applyBorder="1" applyAlignment="1">
      <alignment horizontal="right" vertical="center" wrapText="1"/>
    </xf>
    <xf numFmtId="0" fontId="8" fillId="2" borderId="41" xfId="0" applyFont="1" applyFill="1" applyBorder="1" applyAlignment="1">
      <alignment horizontal="right" vertical="center"/>
    </xf>
    <xf numFmtId="0" fontId="8" fillId="2" borderId="34" xfId="0" applyFont="1" applyFill="1" applyBorder="1" applyAlignment="1">
      <alignment wrapText="1"/>
    </xf>
    <xf numFmtId="0" fontId="8" fillId="2" borderId="34" xfId="0" applyFont="1" applyFill="1" applyBorder="1"/>
    <xf numFmtId="0" fontId="8" fillId="2" borderId="35" xfId="0" applyFont="1" applyFill="1" applyBorder="1" applyAlignment="1">
      <alignment horizontal="right" wrapText="1"/>
    </xf>
    <xf numFmtId="0" fontId="8" fillId="2" borderId="41" xfId="0" applyFont="1" applyFill="1" applyBorder="1" applyAlignment="1">
      <alignment horizontal="right" wrapText="1"/>
    </xf>
    <xf numFmtId="0" fontId="8" fillId="2" borderId="41" xfId="0" applyFont="1" applyFill="1" applyBorder="1" applyAlignment="1">
      <alignment horizontal="right"/>
    </xf>
    <xf numFmtId="0" fontId="8" fillId="2" borderId="36" xfId="0" applyFont="1" applyFill="1" applyBorder="1" applyAlignment="1">
      <alignment horizontal="right" wrapText="1"/>
    </xf>
    <xf numFmtId="0" fontId="14" fillId="2" borderId="35" xfId="0" applyFont="1" applyFill="1" applyBorder="1" applyAlignment="1">
      <alignment horizontal="right"/>
    </xf>
    <xf numFmtId="0" fontId="14" fillId="2" borderId="41" xfId="0" applyFont="1" applyFill="1" applyBorder="1" applyAlignment="1">
      <alignment horizontal="right"/>
    </xf>
    <xf numFmtId="0" fontId="14" fillId="2" borderId="36" xfId="0" applyFont="1" applyFill="1" applyBorder="1" applyAlignment="1">
      <alignment horizontal="right"/>
    </xf>
    <xf numFmtId="0" fontId="3" fillId="0" borderId="33" xfId="0" applyFont="1" applyBorder="1"/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164" fontId="8" fillId="0" borderId="34" xfId="2" applyNumberFormat="1" applyFont="1" applyBorder="1" applyAlignment="1">
      <alignment horizontal="right" vertical="center"/>
    </xf>
    <xf numFmtId="164" fontId="8" fillId="0" borderId="41" xfId="2" applyNumberFormat="1" applyFont="1" applyBorder="1" applyAlignment="1">
      <alignment horizontal="right" vertical="center"/>
    </xf>
    <xf numFmtId="164" fontId="5" fillId="0" borderId="41" xfId="2" applyNumberFormat="1" applyFont="1" applyBorder="1" applyAlignment="1">
      <alignment horizontal="right" vertical="center"/>
    </xf>
    <xf numFmtId="164" fontId="5" fillId="2" borderId="41" xfId="2" applyNumberFormat="1" applyFont="1" applyFill="1" applyBorder="1" applyAlignment="1">
      <alignment horizontal="right" vertical="center"/>
    </xf>
    <xf numFmtId="164" fontId="8" fillId="0" borderId="36" xfId="2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164" fontId="5" fillId="0" borderId="41" xfId="0" applyNumberFormat="1" applyFont="1" applyBorder="1" applyAlignment="1">
      <alignment horizontal="right" vertical="center"/>
    </xf>
    <xf numFmtId="0" fontId="8" fillId="0" borderId="41" xfId="0" applyFont="1" applyBorder="1" applyAlignment="1">
      <alignment horizontal="right"/>
    </xf>
    <xf numFmtId="164" fontId="8" fillId="0" borderId="41" xfId="0" applyNumberFormat="1" applyFont="1" applyBorder="1" applyAlignment="1">
      <alignment horizontal="right" vertical="center"/>
    </xf>
    <xf numFmtId="164" fontId="8" fillId="0" borderId="41" xfId="0" applyNumberFormat="1" applyFont="1" applyBorder="1" applyAlignment="1">
      <alignment horizontal="right"/>
    </xf>
    <xf numFmtId="164" fontId="9" fillId="0" borderId="36" xfId="0" applyNumberFormat="1" applyFont="1" applyBorder="1" applyAlignment="1">
      <alignment horizontal="right" vertical="center"/>
    </xf>
    <xf numFmtId="0" fontId="9" fillId="0" borderId="0" xfId="0" applyFont="1"/>
    <xf numFmtId="0" fontId="27" fillId="3" borderId="44" xfId="0" applyFont="1" applyFill="1" applyBorder="1" applyAlignment="1">
      <alignment horizontal="left" vertical="center"/>
    </xf>
    <xf numFmtId="0" fontId="27" fillId="3" borderId="45" xfId="0" applyFont="1" applyFill="1" applyBorder="1" applyAlignment="1">
      <alignment horizontal="center" vertical="center"/>
    </xf>
    <xf numFmtId="0" fontId="27" fillId="3" borderId="44" xfId="0" applyFont="1" applyFill="1" applyBorder="1" applyAlignment="1">
      <alignment horizontal="center" vertical="center"/>
    </xf>
    <xf numFmtId="0" fontId="27" fillId="3" borderId="46" xfId="0" applyFont="1" applyFill="1" applyBorder="1" applyAlignment="1">
      <alignment horizontal="center" vertical="center"/>
    </xf>
    <xf numFmtId="0" fontId="27" fillId="3" borderId="37" xfId="0" applyFont="1" applyFill="1" applyBorder="1" applyAlignment="1">
      <alignment horizontal="center" vertical="center"/>
    </xf>
    <xf numFmtId="0" fontId="27" fillId="3" borderId="37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horizontal="center" vertical="center"/>
    </xf>
    <xf numFmtId="0" fontId="9" fillId="0" borderId="47" xfId="0" applyFont="1" applyBorder="1" applyAlignment="1"/>
    <xf numFmtId="164" fontId="7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Border="1" applyAlignment="1">
      <alignment vertical="center"/>
    </xf>
    <xf numFmtId="164" fontId="9" fillId="0" borderId="38" xfId="0" applyNumberFormat="1" applyFont="1" applyBorder="1" applyAlignment="1">
      <alignment vertical="center"/>
    </xf>
    <xf numFmtId="0" fontId="8" fillId="0" borderId="38" xfId="0" applyFont="1" applyBorder="1" applyAlignment="1">
      <alignment horizontal="left"/>
    </xf>
    <xf numFmtId="164" fontId="5" fillId="0" borderId="0" xfId="0" applyNumberFormat="1" applyFont="1" applyAlignment="1">
      <alignment vertical="center"/>
    </xf>
    <xf numFmtId="164" fontId="5" fillId="0" borderId="38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38" xfId="0" applyFont="1" applyBorder="1" applyAlignment="1">
      <alignment horizontal="left" wrapText="1"/>
    </xf>
    <xf numFmtId="0" fontId="5" fillId="0" borderId="0" xfId="0" applyFont="1" applyAlignment="1">
      <alignment horizontal="right" vertical="center" wrapText="1"/>
    </xf>
    <xf numFmtId="0" fontId="8" fillId="0" borderId="39" xfId="0" applyFont="1" applyBorder="1" applyAlignment="1">
      <alignment horizontal="left"/>
    </xf>
    <xf numFmtId="0" fontId="5" fillId="0" borderId="48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horizontal="left" vertical="center"/>
    </xf>
    <xf numFmtId="0" fontId="5" fillId="0" borderId="48" xfId="0" applyFont="1" applyBorder="1" applyAlignment="1">
      <alignment vertical="center"/>
    </xf>
    <xf numFmtId="164" fontId="5" fillId="0" borderId="48" xfId="0" applyNumberFormat="1" applyFont="1" applyBorder="1" applyAlignment="1">
      <alignment vertical="center"/>
    </xf>
    <xf numFmtId="164" fontId="5" fillId="0" borderId="48" xfId="0" applyNumberFormat="1" applyFont="1" applyBorder="1" applyAlignment="1">
      <alignment horizontal="right" vertical="center"/>
    </xf>
    <xf numFmtId="164" fontId="5" fillId="0" borderId="39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64" fontId="5" fillId="2" borderId="38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8" fillId="0" borderId="38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39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right" vertical="center" wrapText="1"/>
    </xf>
  </cellXfs>
  <cellStyles count="32">
    <cellStyle name="Comma" xfId="2" builtinId="3"/>
    <cellStyle name="Comma 2" xfId="29"/>
    <cellStyle name="Normal" xfId="0" builtinId="0"/>
    <cellStyle name="Normal 2" xfId="1"/>
    <cellStyle name="Normal 2 2 2" xfId="28"/>
    <cellStyle name="Normal 2 3" xfId="27"/>
    <cellStyle name="Normal 27" xfId="30"/>
    <cellStyle name="Normal 5" xfId="31"/>
    <cellStyle name="Normal 7" xfId="26"/>
    <cellStyle name="style1495786777072" xfId="3"/>
    <cellStyle name="style1495786777150" xfId="12"/>
    <cellStyle name="style1495786777181" xfId="16"/>
    <cellStyle name="style1495786777228" xfId="20"/>
    <cellStyle name="style1495786777384" xfId="4"/>
    <cellStyle name="style1495786777399" xfId="24"/>
    <cellStyle name="style1495786777446" xfId="8"/>
    <cellStyle name="style1495786777462" xfId="25"/>
    <cellStyle name="style1495786777477" xfId="5"/>
    <cellStyle name="style1495786777493" xfId="9"/>
    <cellStyle name="style1495786777524" xfId="6"/>
    <cellStyle name="style1495786777540" xfId="10"/>
    <cellStyle name="style1495786777555" xfId="7"/>
    <cellStyle name="style1495786777587" xfId="11"/>
    <cellStyle name="style1495786777618" xfId="13"/>
    <cellStyle name="style1495786777633" xfId="14"/>
    <cellStyle name="style1495786777649" xfId="15"/>
    <cellStyle name="style1495786777680" xfId="17"/>
    <cellStyle name="style1495786777696" xfId="18"/>
    <cellStyle name="style1495786777711" xfId="19"/>
    <cellStyle name="style1495786777789" xfId="21"/>
    <cellStyle name="style1495786777805" xfId="22"/>
    <cellStyle name="style1495786777821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mn-MN" sz="1200" b="1" i="0" baseline="0"/>
              <a:t>Аймгийн төсвийн зарлагад өөрөө бүрдүүлсэн орлогын эзлэх хувь,  </a:t>
            </a:r>
            <a:r>
              <a:rPr lang="en-US" sz="1200" b="1" i="0" baseline="0"/>
              <a:t>I-XII </a:t>
            </a:r>
            <a:r>
              <a:rPr lang="mn-MN" sz="1200" b="1" i="0" baseline="0"/>
              <a:t>сар </a:t>
            </a:r>
            <a:endParaRPr lang="en-US" sz="1200" b="1" i="0" baseline="0"/>
          </a:p>
        </c:rich>
      </c:tx>
      <c:layout>
        <c:manualLayout>
          <c:xMode val="edge"/>
          <c:yMode val="edge"/>
          <c:x val="0.168991449299328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477334700251684E-2"/>
          <c:y val="0.23161753196879745"/>
          <c:w val="0.87716681960479315"/>
          <c:h val="0.65257188201848715"/>
        </c:manualLayout>
      </c:layout>
      <c:lineChart>
        <c:grouping val="standard"/>
        <c:varyColors val="0"/>
        <c:ser>
          <c:idx val="0"/>
          <c:order val="0"/>
          <c:dLbls>
            <c:dLbl>
              <c:idx val="0"/>
              <c:layout>
                <c:manualLayout>
                  <c:x val="-8.5236001749781271E-2"/>
                  <c:y val="8.3211664484453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038489343620568"/>
                  <c:y val="-3.6982975455098092E-2"/>
                </c:manualLayout>
              </c:layout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4333333333333343E-2"/>
                  <c:y val="8.7834534733589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000000000000004E-2"/>
                  <c:y val="-6.9343053737044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944444444444444E-2"/>
                  <c:y val="-6.4720183487908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'[1]tusviin zarlaga'!$A$52:$A$56</c:f>
              <c:strCache>
                <c:ptCount val="5"/>
                <c:pt idx="0">
                  <c:v>2012 I-XII</c:v>
                </c:pt>
                <c:pt idx="1">
                  <c:v>2013 I-XII</c:v>
                </c:pt>
                <c:pt idx="2">
                  <c:v>2014 I-XII</c:v>
                </c:pt>
                <c:pt idx="3">
                  <c:v>2015 I-XII</c:v>
                </c:pt>
                <c:pt idx="4">
                  <c:v>2016 I-XII</c:v>
                </c:pt>
              </c:strCache>
            </c:strRef>
          </c:cat>
          <c:val>
            <c:numRef>
              <c:f>'[1]tusviin zarlaga'!$B$52:$B$56</c:f>
              <c:numCache>
                <c:formatCode>General</c:formatCode>
                <c:ptCount val="5"/>
                <c:pt idx="0">
                  <c:v>16.153652791934107</c:v>
                </c:pt>
                <c:pt idx="1">
                  <c:v>20.658342792281502</c:v>
                </c:pt>
                <c:pt idx="2">
                  <c:v>15.502260519927574</c:v>
                </c:pt>
                <c:pt idx="3">
                  <c:v>16.572256801742739</c:v>
                </c:pt>
                <c:pt idx="4">
                  <c:v>16.693243639443597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423176"/>
        <c:axId val="165616392"/>
      </c:lineChart>
      <c:catAx>
        <c:axId val="209423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65616392"/>
        <c:crosses val="autoZero"/>
        <c:auto val="1"/>
        <c:lblAlgn val="ctr"/>
        <c:lblOffset val="100"/>
        <c:noMultiLvlLbl val="0"/>
      </c:catAx>
      <c:valAx>
        <c:axId val="165616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094231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mn-MN" sz="1800" b="0" i="0" u="none" strike="noStrike" baseline="0"/>
              <a:t>             </a:t>
            </a:r>
            <a:r>
              <a:rPr lang="mn-MN" sz="1200" b="0" i="0" u="none" strike="noStrike" baseline="0">
                <a:latin typeface="Arial" pitchFamily="34" charset="0"/>
                <a:cs typeface="Arial" pitchFamily="34" charset="0"/>
              </a:rPr>
              <a:t>УЛС, ОРОН НУТГИЙН ТӨСВИЙН ЗАРЛАГА, сая төгрөгөөр </a:t>
            </a:r>
            <a:endParaRPr lang="mn-MN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272569991251094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'[1]tusviin zarlaga'!$A$83</c:f>
              <c:strCache>
                <c:ptCount val="1"/>
                <c:pt idx="0">
                  <c:v>ТӨСВИЙН ЗАРЛАГА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'[1]tusviin zarlaga'!$B$82:$F$82</c:f>
              <c:strCache>
                <c:ptCount val="5"/>
                <c:pt idx="0">
                  <c:v>2012 I-XII</c:v>
                </c:pt>
                <c:pt idx="1">
                  <c:v>2013 I-XII</c:v>
                </c:pt>
                <c:pt idx="2">
                  <c:v>2014 I-XII</c:v>
                </c:pt>
                <c:pt idx="3">
                  <c:v>2015 I-XII</c:v>
                </c:pt>
                <c:pt idx="4">
                  <c:v>2016 I-XII</c:v>
                </c:pt>
              </c:strCache>
            </c:strRef>
          </c:cat>
          <c:val>
            <c:numRef>
              <c:f>'[1]tusviin zarlaga'!$B$83:$F$83</c:f>
              <c:numCache>
                <c:formatCode>General</c:formatCode>
                <c:ptCount val="5"/>
                <c:pt idx="0">
                  <c:v>58081.599999999999</c:v>
                </c:pt>
                <c:pt idx="1">
                  <c:v>49424.1</c:v>
                </c:pt>
                <c:pt idx="2">
                  <c:v>62574.1</c:v>
                </c:pt>
                <c:pt idx="3">
                  <c:v>57885.9</c:v>
                </c:pt>
                <c:pt idx="4">
                  <c:v>61394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6298928"/>
        <c:axId val="216294616"/>
      </c:lineChart>
      <c:catAx>
        <c:axId val="21629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16294616"/>
        <c:crosses val="autoZero"/>
        <c:auto val="1"/>
        <c:lblAlgn val="ctr"/>
        <c:lblOffset val="100"/>
        <c:noMultiLvlLbl val="0"/>
      </c:catAx>
      <c:valAx>
        <c:axId val="216294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629892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140367</xdr:colOff>
      <xdr:row>61</xdr:row>
      <xdr:rowOff>110289</xdr:rowOff>
    </xdr:from>
    <xdr:to>
      <xdr:col>5</xdr:col>
      <xdr:colOff>531393</xdr:colOff>
      <xdr:row>78</xdr:row>
      <xdr:rowOff>130342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80210</xdr:colOff>
      <xdr:row>84</xdr:row>
      <xdr:rowOff>20053</xdr:rowOff>
    </xdr:from>
    <xdr:to>
      <xdr:col>5</xdr:col>
      <xdr:colOff>471236</xdr:colOff>
      <xdr:row>101</xdr:row>
      <xdr:rowOff>40105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raa-1-share/EMXETGEL2016/MEDEELEL%2012%20SAR/tosov-12/tusub-2016-12sa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viin orlogo"/>
      <sheetName val="tusviin zarlaga"/>
      <sheetName val="Sheet1"/>
    </sheetNames>
    <sheetDataSet>
      <sheetData sheetId="0">
        <row r="75">
          <cell r="B75">
            <v>9593</v>
          </cell>
          <cell r="D75">
            <v>10248.650000000001</v>
          </cell>
        </row>
      </sheetData>
      <sheetData sheetId="1">
        <row r="52">
          <cell r="A52" t="str">
            <v>2012 I-XII</v>
          </cell>
          <cell r="B52">
            <v>16.153652791934107</v>
          </cell>
        </row>
        <row r="53">
          <cell r="A53" t="str">
            <v>2013 I-XII</v>
          </cell>
          <cell r="B53">
            <v>20.658342792281502</v>
          </cell>
        </row>
        <row r="54">
          <cell r="A54" t="str">
            <v>2014 I-XII</v>
          </cell>
          <cell r="B54">
            <v>15.502260519927574</v>
          </cell>
        </row>
        <row r="55">
          <cell r="A55" t="str">
            <v>2015 I-XII</v>
          </cell>
          <cell r="B55">
            <v>16.572256801742739</v>
          </cell>
        </row>
        <row r="56">
          <cell r="A56" t="str">
            <v>2016 I-XII</v>
          </cell>
          <cell r="B56">
            <v>16.693243639443597</v>
          </cell>
        </row>
        <row r="82">
          <cell r="B82" t="str">
            <v>2012 I-XII</v>
          </cell>
          <cell r="C82" t="str">
            <v>2013 I-XII</v>
          </cell>
          <cell r="D82" t="str">
            <v>2014 I-XII</v>
          </cell>
          <cell r="E82" t="str">
            <v>2015 I-XII</v>
          </cell>
          <cell r="F82" t="str">
            <v>2016 I-XII</v>
          </cell>
        </row>
        <row r="83">
          <cell r="A83" t="str">
            <v>ТӨСВИЙН ЗАРЛАГА</v>
          </cell>
          <cell r="B83">
            <v>58081.599999999999</v>
          </cell>
          <cell r="C83">
            <v>49424.1</v>
          </cell>
          <cell r="D83">
            <v>62574.1</v>
          </cell>
          <cell r="E83">
            <v>57885.9</v>
          </cell>
          <cell r="F83">
            <v>61394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4"/>
  <sheetViews>
    <sheetView tabSelected="1" zoomScale="90" zoomScaleNormal="90" workbookViewId="0">
      <selection activeCell="V16" sqref="V16:V17"/>
    </sheetView>
  </sheetViews>
  <sheetFormatPr defaultRowHeight="14.25" x14ac:dyDescent="0.2"/>
  <cols>
    <col min="1" max="1" width="37.28515625" style="12" customWidth="1"/>
    <col min="2" max="7" width="8.42578125" style="12" customWidth="1"/>
    <col min="8" max="8" width="10.7109375" style="12" customWidth="1"/>
    <col min="9" max="9" width="10.42578125" style="12" customWidth="1"/>
    <col min="10" max="10" width="12.7109375" style="12" customWidth="1"/>
    <col min="11" max="11" width="10" style="12" customWidth="1"/>
    <col min="12" max="12" width="9.7109375" style="12" customWidth="1"/>
    <col min="13" max="13" width="12.7109375" style="12" customWidth="1"/>
    <col min="14" max="14" width="10" style="13" customWidth="1"/>
    <col min="15" max="15" width="65.28515625" style="12" customWidth="1"/>
    <col min="16" max="16" width="8.7109375" style="12" bestFit="1" customWidth="1"/>
    <col min="17" max="17" width="9.5703125" style="12" bestFit="1" customWidth="1"/>
    <col min="18" max="18" width="9.140625" style="12"/>
    <col min="19" max="19" width="9.28515625" style="12" customWidth="1"/>
    <col min="20" max="20" width="9.140625" style="12"/>
    <col min="21" max="22" width="10.28515625" style="12" customWidth="1"/>
    <col min="23" max="23" width="10" style="12" customWidth="1"/>
    <col min="24" max="24" width="10.7109375" style="12" customWidth="1"/>
    <col min="25" max="25" width="9.85546875" style="12" customWidth="1"/>
    <col min="26" max="26" width="9.140625" style="12"/>
    <col min="27" max="27" width="9.5703125" style="12" bestFit="1" customWidth="1"/>
    <col min="28" max="16384" width="9.140625" style="12"/>
  </cols>
  <sheetData>
    <row r="1" spans="1:27 16384:16384" x14ac:dyDescent="0.2">
      <c r="A1" s="286" t="s">
        <v>8</v>
      </c>
      <c r="B1" s="286"/>
      <c r="C1" s="286"/>
      <c r="D1" s="286"/>
      <c r="E1" s="286"/>
      <c r="F1" s="10"/>
      <c r="G1" s="10"/>
      <c r="H1" s="10"/>
      <c r="I1" s="11"/>
      <c r="J1" s="11"/>
      <c r="O1" s="18"/>
      <c r="P1" s="18"/>
      <c r="Q1" s="18"/>
      <c r="R1" s="18"/>
      <c r="S1" s="18"/>
      <c r="T1" s="18"/>
    </row>
    <row r="2" spans="1:27 16384:16384" x14ac:dyDescent="0.2">
      <c r="A2" s="287"/>
      <c r="B2" s="287"/>
      <c r="C2" s="287"/>
      <c r="D2" s="287"/>
      <c r="E2" s="287"/>
      <c r="J2" s="14"/>
      <c r="O2" s="286" t="s">
        <v>39</v>
      </c>
      <c r="P2" s="286"/>
      <c r="Q2" s="286"/>
      <c r="R2" s="286"/>
      <c r="S2" s="61"/>
      <c r="T2" s="20"/>
    </row>
    <row r="3" spans="1:27 16384:16384" ht="15" customHeight="1" x14ac:dyDescent="0.2">
      <c r="A3" s="312"/>
      <c r="B3" s="300">
        <v>2008</v>
      </c>
      <c r="C3" s="300">
        <v>2009</v>
      </c>
      <c r="D3" s="300">
        <v>2010</v>
      </c>
      <c r="E3" s="300">
        <v>2011</v>
      </c>
      <c r="F3" s="300">
        <v>2012</v>
      </c>
      <c r="G3" s="300">
        <v>2013</v>
      </c>
      <c r="H3" s="300">
        <v>2014</v>
      </c>
      <c r="I3" s="313">
        <v>2015</v>
      </c>
      <c r="J3" s="300">
        <v>2016</v>
      </c>
      <c r="K3" s="274">
        <v>2017</v>
      </c>
      <c r="L3" s="274">
        <v>2018</v>
      </c>
      <c r="M3" s="274">
        <v>2019</v>
      </c>
      <c r="O3" s="283"/>
      <c r="P3" s="283"/>
      <c r="Q3" s="283"/>
      <c r="R3" s="283"/>
      <c r="S3" s="20"/>
      <c r="T3" s="18"/>
      <c r="XFD3" s="274"/>
    </row>
    <row r="4" spans="1:27 16384:16384" ht="18.75" customHeight="1" x14ac:dyDescent="0.2">
      <c r="A4" s="312"/>
      <c r="B4" s="300"/>
      <c r="C4" s="300"/>
      <c r="D4" s="300"/>
      <c r="E4" s="300"/>
      <c r="F4" s="300"/>
      <c r="G4" s="300"/>
      <c r="H4" s="300"/>
      <c r="I4" s="313"/>
      <c r="J4" s="300"/>
      <c r="K4" s="275"/>
      <c r="L4" s="275"/>
      <c r="M4" s="275"/>
      <c r="O4" s="307"/>
      <c r="P4" s="352">
        <v>2008</v>
      </c>
      <c r="Q4" s="291">
        <v>2009</v>
      </c>
      <c r="R4" s="291">
        <v>2010</v>
      </c>
      <c r="S4" s="293">
        <v>2011</v>
      </c>
      <c r="T4" s="291">
        <v>2012</v>
      </c>
      <c r="U4" s="295">
        <v>2013</v>
      </c>
      <c r="V4" s="295">
        <v>2014</v>
      </c>
      <c r="W4" s="295">
        <v>2015</v>
      </c>
      <c r="X4" s="295">
        <v>2016</v>
      </c>
      <c r="Y4" s="297">
        <v>2017</v>
      </c>
      <c r="Z4" s="278">
        <v>2018</v>
      </c>
      <c r="AA4" s="278">
        <v>2019</v>
      </c>
      <c r="XFD4" s="275"/>
    </row>
    <row r="5" spans="1:27 16384:16384" ht="15.75" customHeight="1" x14ac:dyDescent="0.25">
      <c r="A5" s="16" t="s">
        <v>9</v>
      </c>
      <c r="B5" s="173">
        <v>4891.5</v>
      </c>
      <c r="C5" s="173">
        <v>6033.6</v>
      </c>
      <c r="D5" s="173">
        <v>5502.5</v>
      </c>
      <c r="E5" s="173">
        <v>11085</v>
      </c>
      <c r="F5" s="174">
        <v>10552.8</v>
      </c>
      <c r="G5" s="174">
        <v>17356.900000000001</v>
      </c>
      <c r="H5" s="173">
        <v>17702.099999999999</v>
      </c>
      <c r="I5" s="175">
        <f>SUM(I6,S8)</f>
        <v>14761.1</v>
      </c>
      <c r="J5" s="175">
        <f>SUM(J6,T8)</f>
        <v>13008.550000000001</v>
      </c>
      <c r="K5" s="175">
        <v>21040.5</v>
      </c>
      <c r="L5" s="263">
        <v>25266.7</v>
      </c>
      <c r="M5" s="339">
        <f>SUM(M6,M35)</f>
        <v>9926.5</v>
      </c>
      <c r="N5" s="10"/>
      <c r="O5" s="308"/>
      <c r="P5" s="353"/>
      <c r="Q5" s="292"/>
      <c r="R5" s="292"/>
      <c r="S5" s="294"/>
      <c r="T5" s="292"/>
      <c r="U5" s="296"/>
      <c r="V5" s="296"/>
      <c r="W5" s="296"/>
      <c r="X5" s="296"/>
      <c r="Y5" s="298"/>
      <c r="Z5" s="279"/>
      <c r="AA5" s="279"/>
    </row>
    <row r="6" spans="1:27 16384:16384" ht="15" x14ac:dyDescent="0.25">
      <c r="A6" s="16" t="s">
        <v>10</v>
      </c>
      <c r="B6" s="173">
        <v>1077.4000000000001</v>
      </c>
      <c r="C6" s="173">
        <v>2374</v>
      </c>
      <c r="D6" s="173">
        <v>2875.3</v>
      </c>
      <c r="E6" s="173">
        <v>3652.2</v>
      </c>
      <c r="F6" s="173">
        <v>5612.7</v>
      </c>
      <c r="G6" s="173">
        <v>6630.1</v>
      </c>
      <c r="H6" s="173">
        <v>7171.5</v>
      </c>
      <c r="I6" s="175">
        <f>SUM(I7,I30)</f>
        <v>7328.3</v>
      </c>
      <c r="J6" s="175">
        <f>SUM(J7,J30)</f>
        <v>8068.4500000000007</v>
      </c>
      <c r="K6" s="175">
        <v>8661.2999999999993</v>
      </c>
      <c r="L6" s="264">
        <f>SUM(L7,L30)</f>
        <v>8277.6</v>
      </c>
      <c r="M6" s="340">
        <f>SUM(M7,M28)</f>
        <v>9926.5</v>
      </c>
      <c r="N6" s="60"/>
      <c r="O6" s="248" t="s">
        <v>40</v>
      </c>
      <c r="P6" s="354"/>
      <c r="Q6" s="249"/>
      <c r="R6" s="249"/>
      <c r="S6" s="250"/>
      <c r="T6" s="251"/>
      <c r="U6" s="252"/>
      <c r="V6" s="252"/>
      <c r="W6" s="252"/>
      <c r="X6" s="252"/>
      <c r="Y6" s="252"/>
    </row>
    <row r="7" spans="1:27 16384:16384" ht="15" x14ac:dyDescent="0.25">
      <c r="A7" s="16" t="s">
        <v>11</v>
      </c>
      <c r="B7" s="173">
        <v>982.7</v>
      </c>
      <c r="C7" s="173">
        <v>2222.1999999999998</v>
      </c>
      <c r="D7" s="173">
        <v>2654.2</v>
      </c>
      <c r="E7" s="173">
        <v>3360.1</v>
      </c>
      <c r="F7" s="173">
        <v>5155</v>
      </c>
      <c r="G7" s="173">
        <v>5917.7</v>
      </c>
      <c r="H7" s="173">
        <v>6654.1</v>
      </c>
      <c r="I7" s="175">
        <f>SUM(I8,I14,I17)</f>
        <v>6946</v>
      </c>
      <c r="J7" s="175">
        <f>SUM(J8,J14,J17)</f>
        <v>6788.35</v>
      </c>
      <c r="K7" s="175">
        <v>7239.9</v>
      </c>
      <c r="L7" s="264">
        <f>SUM(L8,L14,L17)</f>
        <v>7682.4</v>
      </c>
      <c r="M7" s="340">
        <f>SUM(M8,M14,M17)</f>
        <v>8626.2999999999993</v>
      </c>
      <c r="N7" s="145"/>
      <c r="O7" s="146" t="s">
        <v>41</v>
      </c>
      <c r="P7" s="355"/>
      <c r="Q7" s="45"/>
      <c r="R7" s="45"/>
      <c r="S7" s="253"/>
      <c r="T7" s="254"/>
      <c r="U7" s="255"/>
      <c r="V7" s="255"/>
      <c r="W7" s="255"/>
      <c r="X7" s="255"/>
      <c r="Y7" s="255"/>
      <c r="Z7" s="349"/>
    </row>
    <row r="8" spans="1:27 16384:16384" ht="15" x14ac:dyDescent="0.25">
      <c r="A8" s="16" t="s">
        <v>12</v>
      </c>
      <c r="B8" s="173">
        <v>262.3</v>
      </c>
      <c r="C8" s="173">
        <v>1561.9</v>
      </c>
      <c r="D8" s="173">
        <v>1906.9</v>
      </c>
      <c r="E8" s="173">
        <v>2501.1999999999998</v>
      </c>
      <c r="F8" s="173">
        <v>4074.5</v>
      </c>
      <c r="G8" s="173">
        <v>4761.3999999999996</v>
      </c>
      <c r="H8" s="173">
        <v>5360.1</v>
      </c>
      <c r="I8" s="175">
        <f>SUM(I9:I13)</f>
        <v>5630.6</v>
      </c>
      <c r="J8" s="175">
        <f>SUM(J9:J13)</f>
        <v>5347.85</v>
      </c>
      <c r="K8" s="175">
        <v>5457.9</v>
      </c>
      <c r="L8" s="264">
        <f>SUM(L9:L13)</f>
        <v>5590.2</v>
      </c>
      <c r="M8" s="341">
        <v>6386.5</v>
      </c>
      <c r="N8" s="142"/>
      <c r="O8" s="248" t="s">
        <v>42</v>
      </c>
      <c r="P8" s="355">
        <v>3814.1</v>
      </c>
      <c r="Q8" s="45">
        <v>3659.6</v>
      </c>
      <c r="R8" s="45">
        <v>2627.2</v>
      </c>
      <c r="S8" s="254">
        <v>7432.8</v>
      </c>
      <c r="T8" s="254">
        <v>4940.1000000000004</v>
      </c>
      <c r="U8" s="253">
        <v>10726.8</v>
      </c>
      <c r="V8" s="253">
        <v>10530.6</v>
      </c>
      <c r="W8" s="253">
        <v>11979.8</v>
      </c>
      <c r="X8" s="253">
        <v>11444.8</v>
      </c>
      <c r="Y8" s="253">
        <v>12379.2</v>
      </c>
      <c r="Z8" s="254">
        <v>15833.3</v>
      </c>
      <c r="AA8" s="12">
        <v>21383.1</v>
      </c>
    </row>
    <row r="9" spans="1:27 16384:16384" ht="30.75" customHeight="1" x14ac:dyDescent="0.2">
      <c r="A9" s="21" t="s">
        <v>13</v>
      </c>
      <c r="B9" s="23">
        <v>17.600000000000001</v>
      </c>
      <c r="C9" s="23">
        <v>31.2</v>
      </c>
      <c r="D9" s="23">
        <v>30.1</v>
      </c>
      <c r="E9" s="23">
        <v>31.2</v>
      </c>
      <c r="F9" s="23">
        <v>114.7</v>
      </c>
      <c r="G9" s="23"/>
      <c r="H9" s="23"/>
      <c r="I9" s="176">
        <v>213.2</v>
      </c>
      <c r="J9" s="176">
        <v>262.5</v>
      </c>
      <c r="K9" s="177">
        <v>84.2</v>
      </c>
      <c r="L9" s="264">
        <f>95.4+289.9</f>
        <v>385.29999999999995</v>
      </c>
      <c r="M9" s="341">
        <v>611.6</v>
      </c>
      <c r="N9" s="142"/>
      <c r="O9" s="60" t="s">
        <v>43</v>
      </c>
      <c r="P9" s="356">
        <v>922.1</v>
      </c>
      <c r="Q9" s="253"/>
      <c r="R9" s="253"/>
      <c r="S9" s="171"/>
      <c r="T9" s="254"/>
      <c r="U9" s="253"/>
      <c r="V9" s="253"/>
      <c r="W9" s="253"/>
      <c r="X9" s="253"/>
      <c r="Y9" s="253"/>
      <c r="Z9" s="254" t="s">
        <v>0</v>
      </c>
      <c r="AA9" s="15"/>
    </row>
    <row r="10" spans="1:27 16384:16384" ht="22.5" customHeight="1" x14ac:dyDescent="0.2">
      <c r="A10" s="10" t="s">
        <v>14</v>
      </c>
      <c r="B10" s="178">
        <v>125.7</v>
      </c>
      <c r="C10" s="178">
        <v>67.400000000000006</v>
      </c>
      <c r="D10" s="178">
        <v>7.7</v>
      </c>
      <c r="E10" s="178">
        <v>3.3</v>
      </c>
      <c r="F10" s="178"/>
      <c r="G10" s="178">
        <v>116.6</v>
      </c>
      <c r="H10" s="178"/>
      <c r="I10" s="176">
        <v>255.6</v>
      </c>
      <c r="J10" s="176">
        <v>58.25</v>
      </c>
      <c r="K10" s="177">
        <v>71.7</v>
      </c>
      <c r="L10" s="264">
        <v>97</v>
      </c>
      <c r="M10" s="341">
        <v>26.4</v>
      </c>
      <c r="N10" s="143"/>
      <c r="O10" s="146" t="s">
        <v>44</v>
      </c>
      <c r="P10" s="355">
        <v>2892</v>
      </c>
      <c r="Q10" s="45">
        <v>3659.6</v>
      </c>
      <c r="R10" s="45">
        <v>2627.2</v>
      </c>
      <c r="S10" s="171">
        <v>7432.8</v>
      </c>
      <c r="T10" s="171">
        <v>4940.1000000000004</v>
      </c>
      <c r="U10" s="256">
        <v>10726.8</v>
      </c>
      <c r="V10" s="256">
        <v>10530.6</v>
      </c>
      <c r="W10" s="256">
        <v>11979.8</v>
      </c>
      <c r="X10" s="256">
        <v>11444.8</v>
      </c>
      <c r="Y10" s="256">
        <v>12379.2</v>
      </c>
      <c r="Z10" s="345">
        <v>15833.3</v>
      </c>
      <c r="AA10" s="348">
        <v>21383.1</v>
      </c>
    </row>
    <row r="11" spans="1:27 16384:16384" ht="35.25" customHeight="1" x14ac:dyDescent="0.2">
      <c r="A11" s="21" t="s">
        <v>15</v>
      </c>
      <c r="B11" s="23">
        <v>9.6</v>
      </c>
      <c r="C11" s="23">
        <v>11</v>
      </c>
      <c r="D11" s="23">
        <v>18.3</v>
      </c>
      <c r="E11" s="23">
        <v>19.5</v>
      </c>
      <c r="F11" s="23">
        <v>22.2</v>
      </c>
      <c r="G11" s="23">
        <v>15.7</v>
      </c>
      <c r="H11" s="23">
        <v>23.2</v>
      </c>
      <c r="I11" s="176">
        <v>25.1</v>
      </c>
      <c r="J11" s="176"/>
      <c r="K11" s="177"/>
      <c r="L11" s="264" t="s">
        <v>119</v>
      </c>
      <c r="M11" s="341" t="s">
        <v>0</v>
      </c>
      <c r="N11" s="142"/>
      <c r="O11" s="165" t="s">
        <v>45</v>
      </c>
      <c r="P11" s="357"/>
      <c r="Q11" s="181"/>
      <c r="R11" s="181"/>
      <c r="S11" s="39"/>
      <c r="T11" s="40"/>
      <c r="U11" s="18"/>
      <c r="V11" s="18"/>
      <c r="W11" s="18"/>
      <c r="X11" s="18"/>
      <c r="Y11" s="18"/>
      <c r="Z11" s="50"/>
    </row>
    <row r="12" spans="1:27 16384:16384" ht="15" x14ac:dyDescent="0.25">
      <c r="A12" s="21" t="s">
        <v>16</v>
      </c>
      <c r="B12" s="23"/>
      <c r="C12" s="23">
        <v>1390.3</v>
      </c>
      <c r="D12" s="23">
        <v>1711</v>
      </c>
      <c r="E12" s="23">
        <v>2240</v>
      </c>
      <c r="F12" s="23">
        <v>3525.2</v>
      </c>
      <c r="G12" s="23">
        <v>4253.8999999999996</v>
      </c>
      <c r="H12" s="23">
        <v>4704.2</v>
      </c>
      <c r="I12" s="176">
        <v>4979.6000000000004</v>
      </c>
      <c r="J12" s="176">
        <v>5027.1000000000004</v>
      </c>
      <c r="K12" s="177">
        <v>5302</v>
      </c>
      <c r="L12" s="264">
        <v>5107.8999999999996</v>
      </c>
      <c r="M12" s="341">
        <v>5748.5</v>
      </c>
      <c r="N12" s="142"/>
      <c r="O12" s="31" t="s">
        <v>111</v>
      </c>
      <c r="P12" s="358">
        <v>18357.400000000001</v>
      </c>
      <c r="Q12" s="140">
        <v>19471.8</v>
      </c>
      <c r="R12" s="140">
        <v>13847.4</v>
      </c>
      <c r="S12" s="36">
        <v>28269</v>
      </c>
      <c r="T12" s="36">
        <v>41065.300000000003</v>
      </c>
      <c r="U12" s="48">
        <v>32418.2</v>
      </c>
      <c r="V12" s="48">
        <v>36679.300000000003</v>
      </c>
      <c r="W12" s="48">
        <v>35341.5</v>
      </c>
      <c r="X12" s="48">
        <v>38081</v>
      </c>
      <c r="Y12" s="48">
        <v>40467.699999999997</v>
      </c>
      <c r="Z12" s="350">
        <v>40783.5</v>
      </c>
      <c r="AA12" s="351">
        <v>407496</v>
      </c>
    </row>
    <row r="13" spans="1:27 16384:16384" ht="15" customHeight="1" x14ac:dyDescent="0.2">
      <c r="A13" s="23" t="s">
        <v>17</v>
      </c>
      <c r="B13" s="23">
        <v>109.4</v>
      </c>
      <c r="C13" s="23">
        <v>62</v>
      </c>
      <c r="D13" s="23">
        <v>139.80000000000001</v>
      </c>
      <c r="E13" s="23">
        <v>207.2</v>
      </c>
      <c r="F13" s="23">
        <v>412.4</v>
      </c>
      <c r="G13" s="23">
        <v>375.2</v>
      </c>
      <c r="H13" s="23">
        <v>632.70000000000005</v>
      </c>
      <c r="I13" s="176">
        <v>157.1</v>
      </c>
      <c r="J13" s="176"/>
      <c r="K13" s="177"/>
      <c r="L13" s="264" t="s">
        <v>0</v>
      </c>
      <c r="M13" s="341" t="s">
        <v>0</v>
      </c>
      <c r="N13" s="142"/>
      <c r="O13" s="288" t="s">
        <v>120</v>
      </c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68"/>
      <c r="AA13" s="15"/>
    </row>
    <row r="14" spans="1:27 16384:16384" ht="15" x14ac:dyDescent="0.25">
      <c r="A14" s="16" t="s">
        <v>18</v>
      </c>
      <c r="B14" s="173">
        <v>143.19999999999999</v>
      </c>
      <c r="C14" s="173">
        <v>155.9</v>
      </c>
      <c r="D14" s="173">
        <v>180.2</v>
      </c>
      <c r="E14" s="173">
        <v>206.8</v>
      </c>
      <c r="F14" s="173">
        <v>296</v>
      </c>
      <c r="G14" s="173">
        <v>377.6</v>
      </c>
      <c r="H14" s="173">
        <v>523.1</v>
      </c>
      <c r="I14" s="175">
        <f>SUM(I15:I16)</f>
        <v>585.4</v>
      </c>
      <c r="J14" s="175">
        <f>SUM(J15:J16)</f>
        <v>631.20000000000005</v>
      </c>
      <c r="K14" s="180">
        <v>659.8</v>
      </c>
      <c r="L14" s="264">
        <f>SUM(L15:L16)</f>
        <v>765.09999999999991</v>
      </c>
      <c r="M14" s="340">
        <f>SUM(M15:M16)</f>
        <v>858.8</v>
      </c>
      <c r="N14" s="142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68"/>
    </row>
    <row r="15" spans="1:27 16384:16384" ht="15" customHeight="1" x14ac:dyDescent="0.2">
      <c r="A15" s="24" t="s">
        <v>19</v>
      </c>
      <c r="B15" s="23">
        <v>49.7</v>
      </c>
      <c r="C15" s="23">
        <v>57.9</v>
      </c>
      <c r="D15" s="23">
        <v>73.2</v>
      </c>
      <c r="E15" s="23">
        <v>85.2</v>
      </c>
      <c r="F15" s="23">
        <v>115.4</v>
      </c>
      <c r="G15" s="23">
        <v>158.6</v>
      </c>
      <c r="H15" s="23">
        <v>304.60000000000002</v>
      </c>
      <c r="I15" s="176">
        <v>348.9</v>
      </c>
      <c r="J15" s="176">
        <v>345.4</v>
      </c>
      <c r="K15" s="177">
        <v>372.6</v>
      </c>
      <c r="L15" s="264">
        <f>46.2+415.9</f>
        <v>462.09999999999997</v>
      </c>
      <c r="M15" s="341">
        <v>516.1</v>
      </c>
      <c r="N15" s="1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</row>
    <row r="16" spans="1:27 16384:16384" ht="28.5" x14ac:dyDescent="0.2">
      <c r="A16" s="25" t="s">
        <v>20</v>
      </c>
      <c r="B16" s="23">
        <v>93.5</v>
      </c>
      <c r="C16" s="23">
        <v>98</v>
      </c>
      <c r="D16" s="23">
        <v>107</v>
      </c>
      <c r="E16" s="23">
        <v>121.6</v>
      </c>
      <c r="F16" s="23">
        <v>180.6</v>
      </c>
      <c r="G16" s="23">
        <v>219</v>
      </c>
      <c r="H16" s="23">
        <v>218.5</v>
      </c>
      <c r="I16" s="176">
        <v>236.5</v>
      </c>
      <c r="J16" s="176">
        <v>285.8</v>
      </c>
      <c r="K16" s="177">
        <v>287.2</v>
      </c>
      <c r="L16" s="264">
        <v>303</v>
      </c>
      <c r="M16" s="341">
        <v>342.7</v>
      </c>
      <c r="N16" s="10"/>
      <c r="O16" s="304"/>
      <c r="P16" s="284">
        <v>2008</v>
      </c>
      <c r="Q16" s="284">
        <v>2009</v>
      </c>
      <c r="R16" s="280">
        <v>2010</v>
      </c>
      <c r="S16" s="282">
        <v>2011</v>
      </c>
      <c r="T16" s="284">
        <v>2012</v>
      </c>
      <c r="U16" s="284">
        <v>2013</v>
      </c>
      <c r="V16" s="280">
        <v>2014</v>
      </c>
      <c r="W16" s="282">
        <v>2015</v>
      </c>
      <c r="X16" s="280">
        <v>2016</v>
      </c>
      <c r="Y16" s="282">
        <v>2017</v>
      </c>
      <c r="Z16" s="276">
        <v>2018</v>
      </c>
      <c r="AA16" s="276">
        <v>2019</v>
      </c>
    </row>
    <row r="17" spans="1:31" ht="15" customHeight="1" x14ac:dyDescent="0.25">
      <c r="A17" s="16" t="s">
        <v>21</v>
      </c>
      <c r="B17" s="173">
        <v>577.20000000000005</v>
      </c>
      <c r="C17" s="173">
        <v>504.4</v>
      </c>
      <c r="D17" s="173">
        <v>567.1</v>
      </c>
      <c r="E17" s="173">
        <v>652.6</v>
      </c>
      <c r="F17" s="173">
        <v>784.5</v>
      </c>
      <c r="G17" s="173">
        <v>778.7</v>
      </c>
      <c r="H17" s="173">
        <v>770.9</v>
      </c>
      <c r="I17" s="175">
        <f>SUM(I18:I29)</f>
        <v>729.99999999999989</v>
      </c>
      <c r="J17" s="175">
        <f>SUM(J18:J29)</f>
        <v>809.3</v>
      </c>
      <c r="K17" s="180">
        <v>1122.2</v>
      </c>
      <c r="L17" s="264">
        <f>SUM(L18:L28)</f>
        <v>1327.1000000000001</v>
      </c>
      <c r="M17" s="340">
        <f>SUM(M18:M27)</f>
        <v>1381</v>
      </c>
      <c r="O17" s="305"/>
      <c r="P17" s="285"/>
      <c r="Q17" s="285"/>
      <c r="R17" s="281"/>
      <c r="S17" s="283"/>
      <c r="T17" s="285"/>
      <c r="U17" s="285"/>
      <c r="V17" s="281"/>
      <c r="W17" s="283"/>
      <c r="X17" s="281"/>
      <c r="Y17" s="283"/>
      <c r="Z17" s="277"/>
      <c r="AA17" s="277"/>
    </row>
    <row r="18" spans="1:31" ht="19.5" customHeight="1" x14ac:dyDescent="0.2">
      <c r="A18" s="23" t="s">
        <v>22</v>
      </c>
      <c r="B18" s="23">
        <v>21</v>
      </c>
      <c r="C18" s="23">
        <v>31.4</v>
      </c>
      <c r="D18" s="23">
        <v>27.7</v>
      </c>
      <c r="E18" s="23">
        <v>154.4</v>
      </c>
      <c r="F18" s="23">
        <v>93.2</v>
      </c>
      <c r="G18" s="23">
        <v>188</v>
      </c>
      <c r="H18" s="23">
        <v>267.3</v>
      </c>
      <c r="I18" s="176">
        <v>171.3</v>
      </c>
      <c r="J18" s="176">
        <v>313.3</v>
      </c>
      <c r="K18" s="177">
        <v>203.6</v>
      </c>
      <c r="L18" s="264">
        <f>50+157.1</f>
        <v>207.1</v>
      </c>
      <c r="M18" s="341">
        <v>165.1</v>
      </c>
      <c r="O18" s="34" t="s">
        <v>46</v>
      </c>
      <c r="P18" s="359">
        <v>72.099999999999994</v>
      </c>
      <c r="Q18" s="183">
        <v>97.9</v>
      </c>
      <c r="R18" s="183">
        <v>259.3</v>
      </c>
      <c r="S18" s="170">
        <v>615.5</v>
      </c>
      <c r="T18" s="170">
        <v>381.6</v>
      </c>
      <c r="U18" s="184">
        <v>335.3</v>
      </c>
      <c r="V18" s="184">
        <v>321.10000000000002</v>
      </c>
      <c r="W18" s="184">
        <v>274.89999999999998</v>
      </c>
      <c r="X18" s="184">
        <v>254.3</v>
      </c>
      <c r="Y18" s="184">
        <v>213.9</v>
      </c>
      <c r="Z18" s="269">
        <v>440.34</v>
      </c>
      <c r="AA18" s="259">
        <v>1265.3</v>
      </c>
    </row>
    <row r="19" spans="1:31" x14ac:dyDescent="0.2">
      <c r="A19" s="21" t="s">
        <v>23</v>
      </c>
      <c r="B19" s="23">
        <v>65.7</v>
      </c>
      <c r="C19" s="23">
        <v>60.4</v>
      </c>
      <c r="D19" s="23">
        <v>84.6</v>
      </c>
      <c r="E19" s="23">
        <v>93.2</v>
      </c>
      <c r="F19" s="23">
        <v>102.8</v>
      </c>
      <c r="G19" s="23">
        <v>109.9</v>
      </c>
      <c r="H19" s="23">
        <v>116.8</v>
      </c>
      <c r="I19" s="176">
        <v>174.1</v>
      </c>
      <c r="J19" s="176">
        <v>167.3</v>
      </c>
      <c r="K19" s="177">
        <v>188.6</v>
      </c>
      <c r="L19" s="264">
        <v>240.9</v>
      </c>
      <c r="M19" s="341">
        <v>271.89999999999998</v>
      </c>
      <c r="N19" s="10"/>
      <c r="O19" s="34" t="s">
        <v>52</v>
      </c>
      <c r="P19" s="360">
        <v>365.3</v>
      </c>
      <c r="Q19" s="183">
        <v>741.9</v>
      </c>
      <c r="R19" s="183">
        <v>1208.3</v>
      </c>
      <c r="S19" s="170">
        <v>1182</v>
      </c>
      <c r="T19" s="170">
        <v>1640.7</v>
      </c>
      <c r="U19" s="184">
        <v>2189.1</v>
      </c>
      <c r="V19" s="184">
        <v>1760.9</v>
      </c>
      <c r="W19" s="184">
        <v>1578.5</v>
      </c>
      <c r="X19" s="184">
        <v>1610.2</v>
      </c>
      <c r="Y19" s="184">
        <v>2121.3000000000002</v>
      </c>
      <c r="Z19" s="269">
        <v>3024.43</v>
      </c>
      <c r="AA19" s="255">
        <v>5921.6</v>
      </c>
    </row>
    <row r="20" spans="1:31" ht="26.25" customHeight="1" x14ac:dyDescent="0.2">
      <c r="A20" s="21" t="s">
        <v>24</v>
      </c>
      <c r="B20" s="23">
        <v>54.6</v>
      </c>
      <c r="C20" s="23">
        <v>56.1</v>
      </c>
      <c r="D20" s="23">
        <v>74.8</v>
      </c>
      <c r="E20" s="23">
        <v>79.8</v>
      </c>
      <c r="F20" s="23">
        <v>105.5</v>
      </c>
      <c r="G20" s="23">
        <v>125.4</v>
      </c>
      <c r="H20" s="23">
        <v>77.400000000000006</v>
      </c>
      <c r="I20" s="176">
        <v>69</v>
      </c>
      <c r="J20" s="176">
        <v>107.1</v>
      </c>
      <c r="K20" s="177">
        <v>80.8</v>
      </c>
      <c r="L20" s="264">
        <v>72.599999999999994</v>
      </c>
      <c r="M20" s="341">
        <v>64.8</v>
      </c>
      <c r="N20" s="144"/>
      <c r="O20" s="60" t="s">
        <v>53</v>
      </c>
      <c r="P20" s="361">
        <v>1073.4000000000001</v>
      </c>
      <c r="Q20" s="42">
        <v>1675.4</v>
      </c>
      <c r="R20" s="42">
        <v>4217.3999999999996</v>
      </c>
      <c r="S20" s="170">
        <v>4206</v>
      </c>
      <c r="T20" s="170">
        <v>1681.8</v>
      </c>
      <c r="U20" s="184">
        <v>903.9</v>
      </c>
      <c r="V20" s="184">
        <v>308.60000000000002</v>
      </c>
      <c r="W20" s="184">
        <v>111.4</v>
      </c>
      <c r="X20" s="184">
        <v>102.1</v>
      </c>
      <c r="Y20" s="184">
        <v>184</v>
      </c>
      <c r="Z20" s="269">
        <v>200.6</v>
      </c>
      <c r="AA20" s="255">
        <v>267</v>
      </c>
    </row>
    <row r="21" spans="1:31" ht="33" customHeight="1" x14ac:dyDescent="0.2">
      <c r="A21" s="21" t="s">
        <v>25</v>
      </c>
      <c r="B21" s="23">
        <v>377.3</v>
      </c>
      <c r="C21" s="23">
        <v>270.10000000000002</v>
      </c>
      <c r="D21" s="23">
        <v>289.10000000000002</v>
      </c>
      <c r="E21" s="23">
        <v>216.5</v>
      </c>
      <c r="F21" s="23">
        <v>358.5</v>
      </c>
      <c r="G21" s="23">
        <v>0</v>
      </c>
      <c r="H21" s="23">
        <v>0</v>
      </c>
      <c r="I21" s="176">
        <v>0</v>
      </c>
      <c r="J21" s="176">
        <v>0</v>
      </c>
      <c r="K21" s="177" t="s">
        <v>119</v>
      </c>
      <c r="L21" s="264" t="s">
        <v>0</v>
      </c>
      <c r="M21" s="341" t="s">
        <v>0</v>
      </c>
      <c r="N21" s="144"/>
      <c r="O21" s="182" t="s">
        <v>112</v>
      </c>
      <c r="P21" s="355">
        <v>1.1000000000000001</v>
      </c>
      <c r="Q21" s="45">
        <v>1.6</v>
      </c>
      <c r="R21" s="45"/>
      <c r="S21" s="185"/>
      <c r="T21" s="171"/>
      <c r="U21" s="152"/>
      <c r="V21" s="152"/>
      <c r="W21" s="152"/>
      <c r="X21" s="152"/>
      <c r="Y21" s="152"/>
      <c r="Z21" s="270"/>
      <c r="AA21" s="255"/>
    </row>
    <row r="22" spans="1:31" ht="14.25" customHeight="1" x14ac:dyDescent="0.2">
      <c r="A22" s="309" t="s">
        <v>26</v>
      </c>
      <c r="B22" s="23">
        <v>40</v>
      </c>
      <c r="C22" s="299">
        <v>53.5</v>
      </c>
      <c r="D22" s="299">
        <v>39.799999999999997</v>
      </c>
      <c r="E22" s="299">
        <v>40.799999999999997</v>
      </c>
      <c r="F22" s="299">
        <v>44.6</v>
      </c>
      <c r="G22" s="299"/>
      <c r="H22" s="299">
        <v>231.9</v>
      </c>
      <c r="I22" s="310">
        <v>0</v>
      </c>
      <c r="J22" s="310">
        <v>0</v>
      </c>
      <c r="K22" s="311" t="s">
        <v>119</v>
      </c>
      <c r="L22" s="264" t="s">
        <v>0</v>
      </c>
      <c r="M22" s="341" t="s">
        <v>0</v>
      </c>
      <c r="O22" s="143" t="s">
        <v>54</v>
      </c>
      <c r="P22" s="361">
        <v>17.5</v>
      </c>
      <c r="Q22" s="42">
        <v>20.3</v>
      </c>
      <c r="R22" s="42">
        <v>25.2</v>
      </c>
      <c r="S22" s="42">
        <v>32.1</v>
      </c>
      <c r="T22" s="170">
        <v>29.7</v>
      </c>
      <c r="U22" s="184">
        <v>99.7</v>
      </c>
      <c r="V22" s="184">
        <v>105.4</v>
      </c>
      <c r="W22" s="184">
        <v>120.4</v>
      </c>
      <c r="X22" s="184">
        <v>113.7</v>
      </c>
      <c r="Y22" s="184">
        <v>131.30000000000001</v>
      </c>
      <c r="Z22" s="270">
        <v>159.80000000000001</v>
      </c>
      <c r="AA22" s="255">
        <v>266</v>
      </c>
    </row>
    <row r="23" spans="1:31" ht="12.75" customHeight="1" x14ac:dyDescent="0.2">
      <c r="A23" s="309"/>
      <c r="B23" s="23"/>
      <c r="C23" s="299"/>
      <c r="D23" s="299"/>
      <c r="E23" s="299"/>
      <c r="F23" s="299"/>
      <c r="G23" s="299"/>
      <c r="H23" s="299"/>
      <c r="I23" s="310"/>
      <c r="J23" s="310"/>
      <c r="K23" s="311"/>
      <c r="M23" s="341"/>
      <c r="N23" s="10"/>
      <c r="O23" s="20" t="s">
        <v>55</v>
      </c>
      <c r="P23" s="362">
        <v>24.6</v>
      </c>
      <c r="Q23" s="183">
        <v>42.3</v>
      </c>
      <c r="R23" s="183">
        <v>38.6</v>
      </c>
      <c r="S23" s="171">
        <v>18.100000000000001</v>
      </c>
      <c r="T23" s="171">
        <v>35.799999999999997</v>
      </c>
      <c r="U23" s="184">
        <v>52.1</v>
      </c>
      <c r="V23" s="184">
        <v>32.9</v>
      </c>
      <c r="W23" s="184">
        <v>179.5</v>
      </c>
      <c r="X23" s="184">
        <v>99.9</v>
      </c>
      <c r="Y23" s="184">
        <v>89.7</v>
      </c>
      <c r="Z23" s="271">
        <v>84.1</v>
      </c>
      <c r="AA23" s="347">
        <v>87.6</v>
      </c>
    </row>
    <row r="24" spans="1:31" ht="28.5" x14ac:dyDescent="0.2">
      <c r="A24" s="27" t="s">
        <v>27</v>
      </c>
      <c r="B24" s="23">
        <v>3</v>
      </c>
      <c r="C24" s="23">
        <v>12.5</v>
      </c>
      <c r="D24" s="23">
        <v>33.6</v>
      </c>
      <c r="E24" s="23">
        <v>32.799999999999997</v>
      </c>
      <c r="F24" s="23">
        <v>15.2</v>
      </c>
      <c r="G24" s="23">
        <v>116.9</v>
      </c>
      <c r="H24" s="23">
        <v>39.700000000000003</v>
      </c>
      <c r="I24" s="176">
        <v>166.9</v>
      </c>
      <c r="J24" s="176">
        <v>77.099999999999994</v>
      </c>
      <c r="K24" s="177">
        <v>484.2</v>
      </c>
      <c r="L24" s="264">
        <v>583.70000000000005</v>
      </c>
      <c r="M24" s="341">
        <v>625.4</v>
      </c>
      <c r="N24" s="10"/>
      <c r="O24" s="148" t="s">
        <v>56</v>
      </c>
      <c r="P24" s="19"/>
      <c r="Q24" s="19"/>
      <c r="R24" s="19"/>
      <c r="S24" s="163"/>
      <c r="T24" s="163"/>
      <c r="U24" s="162"/>
      <c r="V24" s="162"/>
      <c r="W24" s="162"/>
      <c r="X24" s="162"/>
      <c r="Y24" s="162"/>
    </row>
    <row r="25" spans="1:31" ht="30.75" customHeight="1" x14ac:dyDescent="0.2">
      <c r="A25" s="27" t="s">
        <v>28</v>
      </c>
      <c r="B25" s="23">
        <v>4.9000000000000004</v>
      </c>
      <c r="C25" s="23">
        <v>11.7</v>
      </c>
      <c r="D25" s="23">
        <v>9.1999999999999993</v>
      </c>
      <c r="E25" s="23">
        <v>19.600000000000001</v>
      </c>
      <c r="F25" s="23">
        <v>42.1</v>
      </c>
      <c r="G25" s="23">
        <v>108.3</v>
      </c>
      <c r="H25" s="23">
        <v>28.7</v>
      </c>
      <c r="I25" s="176">
        <v>88.4</v>
      </c>
      <c r="J25" s="176">
        <v>41.9</v>
      </c>
      <c r="K25" s="177">
        <v>38</v>
      </c>
      <c r="L25" s="264">
        <v>35.9</v>
      </c>
      <c r="M25" s="341">
        <v>67.099999999999994</v>
      </c>
      <c r="N25" s="10"/>
      <c r="O25" s="48"/>
      <c r="P25" s="164">
        <v>2008</v>
      </c>
      <c r="Q25" s="164">
        <v>2009</v>
      </c>
      <c r="R25" s="164">
        <v>2010</v>
      </c>
      <c r="S25" s="164">
        <v>2011</v>
      </c>
      <c r="T25" s="164">
        <v>2012</v>
      </c>
      <c r="U25" s="164">
        <v>2013</v>
      </c>
      <c r="V25" s="164">
        <v>2014</v>
      </c>
      <c r="W25" s="164">
        <v>2015</v>
      </c>
      <c r="X25" s="164">
        <v>2016</v>
      </c>
      <c r="Y25" s="148">
        <v>2017</v>
      </c>
      <c r="Z25" s="272">
        <v>2018</v>
      </c>
      <c r="AA25" s="272">
        <v>2019</v>
      </c>
    </row>
    <row r="26" spans="1:31" ht="15" x14ac:dyDescent="0.25">
      <c r="A26" s="23" t="s">
        <v>29</v>
      </c>
      <c r="B26" s="23">
        <v>10.7</v>
      </c>
      <c r="C26" s="23">
        <v>8.6999999999999993</v>
      </c>
      <c r="D26" s="23">
        <v>8.3000000000000007</v>
      </c>
      <c r="E26" s="23">
        <v>13.5</v>
      </c>
      <c r="F26" s="23">
        <v>22.6</v>
      </c>
      <c r="G26" s="23">
        <v>19.7</v>
      </c>
      <c r="H26" s="23">
        <v>9.1</v>
      </c>
      <c r="I26" s="176">
        <v>37</v>
      </c>
      <c r="J26" s="176">
        <v>25.8</v>
      </c>
      <c r="K26" s="177">
        <v>34.4</v>
      </c>
      <c r="L26" s="264">
        <v>26.8</v>
      </c>
      <c r="M26" s="341">
        <v>32.700000000000003</v>
      </c>
      <c r="N26" s="10"/>
      <c r="O26" s="149" t="s">
        <v>36</v>
      </c>
      <c r="P26" s="363">
        <v>3927.2</v>
      </c>
      <c r="Q26" s="186">
        <v>4953.3999999999996</v>
      </c>
      <c r="R26" s="186">
        <v>8624.1</v>
      </c>
      <c r="S26" s="186">
        <v>9705.9</v>
      </c>
      <c r="T26" s="186">
        <v>9382.2999999999993</v>
      </c>
      <c r="U26" s="186">
        <v>10210.200000000001</v>
      </c>
      <c r="V26" s="186">
        <v>9700.4</v>
      </c>
      <c r="W26" s="186">
        <v>9593</v>
      </c>
      <c r="X26" s="186">
        <v>10248.700000000001</v>
      </c>
      <c r="Y26" s="186">
        <v>11401.5</v>
      </c>
      <c r="Z26" s="12">
        <v>13342.67</v>
      </c>
      <c r="AA26" s="12">
        <v>18476.099999999999</v>
      </c>
    </row>
    <row r="27" spans="1:31" ht="27.75" customHeight="1" x14ac:dyDescent="0.2">
      <c r="A27" s="23" t="s">
        <v>30</v>
      </c>
      <c r="B27" s="23"/>
      <c r="C27" s="23"/>
      <c r="D27" s="23"/>
      <c r="E27" s="23">
        <v>1.5</v>
      </c>
      <c r="F27" s="23"/>
      <c r="G27" s="23">
        <v>7.2</v>
      </c>
      <c r="H27" s="23"/>
      <c r="I27" s="176">
        <v>23.3</v>
      </c>
      <c r="J27" s="176">
        <v>76.8</v>
      </c>
      <c r="K27" s="177">
        <v>92.6</v>
      </c>
      <c r="L27" s="264">
        <v>160.1</v>
      </c>
      <c r="M27" s="341">
        <v>154</v>
      </c>
      <c r="N27" s="10"/>
      <c r="O27" s="150" t="s">
        <v>57</v>
      </c>
      <c r="P27" s="364">
        <v>2849.8</v>
      </c>
      <c r="Q27" s="187">
        <v>2579.4</v>
      </c>
      <c r="R27" s="187">
        <v>5748.8</v>
      </c>
      <c r="S27" s="187">
        <v>6053.7</v>
      </c>
      <c r="T27" s="187">
        <v>3769.6</v>
      </c>
      <c r="U27" s="187">
        <v>3580.1</v>
      </c>
      <c r="V27" s="187">
        <v>2528.9</v>
      </c>
      <c r="W27" s="187">
        <v>2264.6999999999998</v>
      </c>
      <c r="X27" s="187">
        <v>2180.1999999999998</v>
      </c>
      <c r="Y27" s="187">
        <v>2740.2</v>
      </c>
      <c r="Z27" s="14">
        <v>3909.27</v>
      </c>
      <c r="AA27" s="12">
        <v>7807.5</v>
      </c>
    </row>
    <row r="28" spans="1:31" ht="13.5" customHeight="1" x14ac:dyDescent="0.2">
      <c r="A28" s="23" t="s">
        <v>31</v>
      </c>
      <c r="B28" s="23"/>
      <c r="C28" s="23"/>
      <c r="D28" s="23"/>
      <c r="E28" s="179"/>
      <c r="F28" s="23"/>
      <c r="G28" s="23">
        <v>103.3</v>
      </c>
      <c r="H28" s="23"/>
      <c r="I28" s="176"/>
      <c r="J28" s="176" t="s">
        <v>0</v>
      </c>
      <c r="K28" s="177"/>
      <c r="L28" s="265"/>
      <c r="M28" s="342">
        <v>1300.2</v>
      </c>
      <c r="N28" s="10"/>
      <c r="O28" s="151" t="s">
        <v>58</v>
      </c>
      <c r="P28" s="365">
        <v>1077.4000000000001</v>
      </c>
      <c r="Q28" s="188">
        <v>2374</v>
      </c>
      <c r="R28" s="188">
        <v>2875.3</v>
      </c>
      <c r="S28" s="188">
        <v>3652.2</v>
      </c>
      <c r="T28" s="188">
        <v>5612.7</v>
      </c>
      <c r="U28" s="188">
        <v>6630.1</v>
      </c>
      <c r="V28" s="188">
        <v>7171.9</v>
      </c>
      <c r="W28" s="188">
        <v>7328.3</v>
      </c>
      <c r="X28" s="188">
        <v>8068.5</v>
      </c>
      <c r="Y28" s="188">
        <v>8661.2999999999993</v>
      </c>
      <c r="Z28" s="273">
        <v>9433.4</v>
      </c>
      <c r="AA28" s="273">
        <v>10668.6</v>
      </c>
    </row>
    <row r="29" spans="1:31" ht="17.25" customHeight="1" x14ac:dyDescent="0.25">
      <c r="A29" s="21" t="s">
        <v>32</v>
      </c>
      <c r="B29" s="23"/>
      <c r="C29" s="23"/>
      <c r="D29" s="23"/>
      <c r="E29" s="23"/>
      <c r="F29" s="23"/>
      <c r="G29" s="23"/>
      <c r="H29" s="23"/>
      <c r="I29" s="176"/>
      <c r="J29" s="176"/>
      <c r="K29" s="177"/>
      <c r="M29" s="341" t="s">
        <v>0</v>
      </c>
      <c r="N29" s="10"/>
      <c r="O29" s="18"/>
      <c r="P29" s="189"/>
      <c r="Q29" s="189"/>
      <c r="R29" s="189"/>
      <c r="S29" s="190"/>
      <c r="T29" s="190"/>
      <c r="U29" s="187"/>
      <c r="V29" s="187"/>
      <c r="W29" s="187"/>
      <c r="X29" s="187"/>
      <c r="Y29" s="187"/>
      <c r="AB29" s="12" t="s">
        <v>1</v>
      </c>
    </row>
    <row r="30" spans="1:31" ht="15.75" x14ac:dyDescent="0.25">
      <c r="A30" s="16" t="s">
        <v>33</v>
      </c>
      <c r="B30" s="173">
        <v>94.7</v>
      </c>
      <c r="C30" s="173">
        <v>151.80000000000001</v>
      </c>
      <c r="D30" s="173">
        <v>221.1</v>
      </c>
      <c r="E30" s="23">
        <v>292.10000000000002</v>
      </c>
      <c r="F30" s="173">
        <v>457.7</v>
      </c>
      <c r="G30" s="173">
        <v>712.4</v>
      </c>
      <c r="H30" s="173">
        <v>517.4</v>
      </c>
      <c r="I30" s="175">
        <f>SUM(I31:I34)</f>
        <v>382.3</v>
      </c>
      <c r="J30" s="175">
        <f>SUM(J31:J34)</f>
        <v>1280.0999999999999</v>
      </c>
      <c r="K30" s="177">
        <v>1421.4</v>
      </c>
      <c r="L30" s="264">
        <f>SUM(L31:L34)</f>
        <v>595.20000000000005</v>
      </c>
      <c r="M30" s="340">
        <f>SUM(M31:M34)</f>
        <v>742.1</v>
      </c>
      <c r="N30" s="10"/>
      <c r="O30" s="18"/>
      <c r="P30" s="150"/>
      <c r="Q30" s="150"/>
      <c r="R30" s="150"/>
      <c r="S30" s="35"/>
      <c r="T30" s="36"/>
      <c r="U30" s="141"/>
      <c r="V30" s="141"/>
      <c r="W30" s="141"/>
      <c r="X30" s="141"/>
      <c r="Y30" s="141"/>
      <c r="Z30" s="15"/>
      <c r="AA30" s="15"/>
      <c r="AB30" s="15"/>
      <c r="AC30" s="15"/>
      <c r="AD30" s="15"/>
      <c r="AE30" s="15"/>
    </row>
    <row r="31" spans="1:31" ht="13.5" customHeight="1" x14ac:dyDescent="0.2">
      <c r="A31" s="21" t="s">
        <v>34</v>
      </c>
      <c r="B31" s="23"/>
      <c r="C31" s="23"/>
      <c r="D31" s="23"/>
      <c r="E31" s="23"/>
      <c r="F31" s="23"/>
      <c r="G31" s="23"/>
      <c r="H31" s="23"/>
      <c r="I31" s="178" t="s">
        <v>0</v>
      </c>
      <c r="J31" s="178" t="s">
        <v>0</v>
      </c>
      <c r="K31" s="177"/>
      <c r="L31" s="266" t="s">
        <v>0</v>
      </c>
      <c r="M31" s="341" t="s">
        <v>0</v>
      </c>
      <c r="N31" s="10"/>
      <c r="O31" s="18"/>
      <c r="P31" s="150"/>
      <c r="Q31" s="150"/>
      <c r="R31" s="150"/>
      <c r="S31" s="35"/>
      <c r="T31" s="35"/>
      <c r="U31" s="153"/>
      <c r="V31" s="153"/>
      <c r="W31" s="153"/>
      <c r="X31" s="153"/>
      <c r="Y31" s="153"/>
      <c r="Z31" s="15"/>
      <c r="AA31" s="15"/>
      <c r="AB31" s="15"/>
      <c r="AC31" s="15"/>
      <c r="AD31" s="15"/>
      <c r="AE31" s="15"/>
    </row>
    <row r="32" spans="1:31" ht="15" x14ac:dyDescent="0.25">
      <c r="A32" s="21" t="s">
        <v>35</v>
      </c>
      <c r="B32" s="23">
        <v>16.399999999999999</v>
      </c>
      <c r="C32" s="23">
        <v>30.7</v>
      </c>
      <c r="D32" s="23">
        <v>23.5</v>
      </c>
      <c r="E32" s="179">
        <v>55.1</v>
      </c>
      <c r="F32" s="23">
        <v>55.1</v>
      </c>
      <c r="G32" s="23">
        <v>146</v>
      </c>
      <c r="H32" s="23">
        <v>81.2</v>
      </c>
      <c r="I32" s="176">
        <v>19.100000000000001</v>
      </c>
      <c r="J32" s="176">
        <v>57.6</v>
      </c>
      <c r="K32" s="177">
        <v>136.30000000000001</v>
      </c>
      <c r="L32" s="264">
        <v>57.5</v>
      </c>
      <c r="M32" s="341">
        <v>142</v>
      </c>
      <c r="N32" s="10"/>
      <c r="O32" s="18"/>
      <c r="P32" s="15"/>
      <c r="Q32" s="15"/>
      <c r="R32" s="15"/>
      <c r="S32" s="302"/>
      <c r="T32" s="302"/>
      <c r="U32" s="46"/>
      <c r="V32" s="46"/>
      <c r="W32" s="46"/>
      <c r="X32" s="154"/>
      <c r="Y32" s="154"/>
      <c r="Z32" s="26"/>
      <c r="AA32" s="26"/>
      <c r="AB32" s="15"/>
      <c r="AC32" s="15"/>
      <c r="AD32" s="26"/>
      <c r="AE32" s="15"/>
    </row>
    <row r="33" spans="1:31" ht="15" x14ac:dyDescent="0.25">
      <c r="A33" s="34" t="s">
        <v>37</v>
      </c>
      <c r="B33" s="43"/>
      <c r="C33" s="43">
        <v>0</v>
      </c>
      <c r="D33" s="43"/>
      <c r="E33" s="43"/>
      <c r="F33" s="43"/>
      <c r="G33" s="43"/>
      <c r="H33" s="43"/>
      <c r="I33" s="38"/>
      <c r="J33" s="38"/>
      <c r="K33" s="243"/>
      <c r="L33" s="267"/>
      <c r="M33" s="341" t="s">
        <v>119</v>
      </c>
      <c r="N33" s="10"/>
      <c r="O33" s="18"/>
      <c r="S33" s="302"/>
      <c r="T33" s="302"/>
      <c r="U33" s="47"/>
      <c r="V33" s="47"/>
      <c r="W33" s="46"/>
      <c r="X33" s="154"/>
      <c r="Y33" s="154"/>
      <c r="Z33" s="15"/>
      <c r="AA33" s="15"/>
      <c r="AB33" s="15"/>
      <c r="AC33" s="15"/>
      <c r="AD33" s="15"/>
      <c r="AE33" s="15"/>
    </row>
    <row r="34" spans="1:31" x14ac:dyDescent="0.2">
      <c r="A34" s="244" t="s">
        <v>38</v>
      </c>
      <c r="B34" s="245">
        <v>78.3</v>
      </c>
      <c r="C34" s="245">
        <v>121.1</v>
      </c>
      <c r="D34" s="245">
        <v>197.6</v>
      </c>
      <c r="E34" s="245">
        <v>237</v>
      </c>
      <c r="F34" s="245">
        <v>402.6</v>
      </c>
      <c r="G34" s="245">
        <v>566.4</v>
      </c>
      <c r="H34" s="245">
        <v>436.2</v>
      </c>
      <c r="I34" s="246">
        <v>363.2</v>
      </c>
      <c r="J34" s="246">
        <v>1222.5</v>
      </c>
      <c r="K34" s="247">
        <v>1285.0999999999999</v>
      </c>
      <c r="L34" s="345">
        <f>109.6+428.1</f>
        <v>537.70000000000005</v>
      </c>
      <c r="M34" s="346">
        <v>600.1</v>
      </c>
      <c r="N34" s="29"/>
      <c r="O34" s="18"/>
      <c r="S34" s="15"/>
      <c r="T34" s="15"/>
      <c r="U34" s="15"/>
      <c r="V34" s="15"/>
      <c r="W34" s="15"/>
      <c r="X34" s="15"/>
      <c r="Y34" s="155"/>
      <c r="Z34" s="15"/>
      <c r="AA34" s="15"/>
      <c r="AB34" s="15"/>
      <c r="AC34" s="15"/>
      <c r="AD34" s="15"/>
      <c r="AE34" s="15"/>
    </row>
    <row r="35" spans="1:3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343"/>
      <c r="N35" s="10"/>
      <c r="O35" s="18"/>
    </row>
    <row r="36" spans="1:3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343"/>
      <c r="N36" s="10"/>
      <c r="O36" s="18"/>
    </row>
    <row r="37" spans="1:3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343"/>
      <c r="N37" s="10"/>
      <c r="O37" s="18"/>
    </row>
    <row r="38" spans="1:3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344"/>
      <c r="N38" s="10"/>
      <c r="O38" s="18"/>
    </row>
    <row r="39" spans="1:31" x14ac:dyDescent="0.2">
      <c r="K39" s="18"/>
      <c r="L39" s="18"/>
      <c r="M39" s="344"/>
      <c r="N39" s="10"/>
      <c r="O39" s="18"/>
    </row>
    <row r="40" spans="1:31" x14ac:dyDescent="0.2">
      <c r="K40" s="20"/>
      <c r="L40" s="30"/>
      <c r="M40" s="30"/>
      <c r="N40" s="10"/>
      <c r="O40" s="18"/>
    </row>
    <row r="41" spans="1:31" x14ac:dyDescent="0.2">
      <c r="K41" s="20"/>
      <c r="L41" s="20"/>
      <c r="M41" s="140"/>
      <c r="N41" s="10"/>
      <c r="O41" s="18"/>
    </row>
    <row r="42" spans="1:31" x14ac:dyDescent="0.2">
      <c r="K42" s="289"/>
      <c r="L42" s="289"/>
      <c r="M42" s="258"/>
      <c r="N42" s="10"/>
      <c r="O42" s="18"/>
    </row>
    <row r="43" spans="1:31" x14ac:dyDescent="0.2">
      <c r="K43" s="44"/>
      <c r="L43" s="45"/>
      <c r="M43" s="45"/>
      <c r="N43" s="10"/>
      <c r="O43" s="18"/>
    </row>
    <row r="44" spans="1:31" x14ac:dyDescent="0.2">
      <c r="K44" s="22"/>
      <c r="L44" s="22"/>
      <c r="M44" s="22"/>
      <c r="N44" s="10"/>
      <c r="O44" s="18"/>
    </row>
    <row r="45" spans="1:31" x14ac:dyDescent="0.2">
      <c r="K45" s="22"/>
      <c r="L45" s="15"/>
      <c r="M45" s="15"/>
      <c r="N45" s="10"/>
      <c r="O45" s="18"/>
      <c r="P45" s="306"/>
      <c r="Q45" s="306"/>
      <c r="R45" s="306"/>
    </row>
    <row r="46" spans="1:31" ht="15" x14ac:dyDescent="0.25">
      <c r="K46" s="47"/>
      <c r="L46" s="22"/>
      <c r="M46" s="22"/>
      <c r="N46" s="10"/>
      <c r="O46" s="18"/>
      <c r="P46" s="306"/>
      <c r="Q46" s="306"/>
      <c r="R46" s="306"/>
    </row>
    <row r="47" spans="1:31" x14ac:dyDescent="0.2">
      <c r="K47" s="22"/>
      <c r="L47" s="22"/>
      <c r="M47" s="22"/>
      <c r="N47" s="10"/>
      <c r="O47" s="18"/>
    </row>
    <row r="48" spans="1:31" x14ac:dyDescent="0.2">
      <c r="K48" s="38"/>
      <c r="L48" s="38"/>
      <c r="M48" s="38"/>
      <c r="N48" s="10"/>
      <c r="O48" s="18"/>
    </row>
    <row r="49" spans="11:28" x14ac:dyDescent="0.2">
      <c r="K49" s="22"/>
      <c r="L49" s="22"/>
      <c r="M49" s="22"/>
      <c r="N49" s="10"/>
      <c r="O49" s="18"/>
    </row>
    <row r="50" spans="11:28" x14ac:dyDescent="0.2">
      <c r="K50" s="38"/>
      <c r="L50" s="22"/>
      <c r="M50" s="22"/>
      <c r="N50" s="10"/>
      <c r="O50" s="18"/>
    </row>
    <row r="51" spans="11:28" x14ac:dyDescent="0.2">
      <c r="K51" s="140"/>
      <c r="L51" s="140"/>
      <c r="M51" s="140"/>
      <c r="N51" s="10"/>
      <c r="O51" s="18"/>
    </row>
    <row r="52" spans="11:28" ht="15" x14ac:dyDescent="0.25">
      <c r="K52" s="41"/>
      <c r="L52" s="42"/>
      <c r="M52" s="42"/>
      <c r="N52" s="10"/>
      <c r="O52" s="18"/>
      <c r="Q52" s="303"/>
      <c r="R52" s="303"/>
    </row>
    <row r="53" spans="11:28" ht="15" x14ac:dyDescent="0.25">
      <c r="K53" s="41"/>
      <c r="L53" s="22"/>
      <c r="M53" s="22"/>
      <c r="N53" s="10"/>
      <c r="O53" s="18"/>
      <c r="Q53" s="303"/>
      <c r="R53" s="303"/>
    </row>
    <row r="54" spans="11:28" x14ac:dyDescent="0.2">
      <c r="K54" s="289"/>
      <c r="L54" s="289"/>
      <c r="M54" s="258"/>
      <c r="N54" s="10"/>
      <c r="O54" s="18"/>
      <c r="Q54" s="18"/>
    </row>
    <row r="55" spans="11:28" x14ac:dyDescent="0.2">
      <c r="K55" s="44"/>
      <c r="L55" s="45"/>
      <c r="M55" s="45"/>
      <c r="N55" s="29"/>
      <c r="O55" s="18"/>
    </row>
    <row r="56" spans="11:28" ht="15" x14ac:dyDescent="0.25">
      <c r="K56" s="32"/>
      <c r="L56" s="47"/>
      <c r="M56" s="47"/>
      <c r="N56" s="10"/>
      <c r="O56" s="18"/>
      <c r="S56" s="15"/>
      <c r="T56" s="15"/>
      <c r="U56" s="15"/>
      <c r="V56" s="15"/>
      <c r="W56" s="15"/>
      <c r="X56" s="15"/>
      <c r="Y56" s="15"/>
      <c r="Z56" s="15"/>
      <c r="AA56" s="15"/>
    </row>
    <row r="57" spans="11:28" x14ac:dyDescent="0.2">
      <c r="K57" s="36"/>
      <c r="L57" s="22"/>
      <c r="M57" s="22"/>
      <c r="N57" s="29"/>
      <c r="O57" s="18"/>
      <c r="S57" s="302"/>
      <c r="T57" s="302"/>
      <c r="U57" s="302"/>
      <c r="V57" s="153"/>
      <c r="W57" s="153"/>
      <c r="X57" s="153"/>
      <c r="Y57" s="15"/>
      <c r="Z57" s="15"/>
      <c r="AA57" s="153"/>
      <c r="AB57" s="15"/>
    </row>
    <row r="58" spans="11:28" ht="15" x14ac:dyDescent="0.25">
      <c r="K58" s="36"/>
      <c r="L58" s="22"/>
      <c r="M58" s="22"/>
      <c r="N58" s="29"/>
      <c r="O58" s="18"/>
      <c r="S58" s="302"/>
      <c r="T58" s="302"/>
      <c r="U58" s="302"/>
      <c r="V58" s="46"/>
      <c r="W58" s="46"/>
      <c r="X58" s="46"/>
      <c r="Y58" s="47"/>
      <c r="Z58" s="47"/>
      <c r="AA58" s="47"/>
      <c r="AB58" s="15"/>
    </row>
    <row r="59" spans="11:28" ht="15" x14ac:dyDescent="0.25">
      <c r="K59" s="36"/>
      <c r="L59" s="22"/>
      <c r="M59" s="22"/>
      <c r="N59" s="29"/>
      <c r="O59" s="18"/>
      <c r="S59" s="302"/>
      <c r="T59" s="302"/>
      <c r="U59" s="302"/>
      <c r="V59" s="47"/>
      <c r="W59" s="47"/>
      <c r="X59" s="46"/>
      <c r="Y59" s="47"/>
      <c r="Z59" s="47"/>
      <c r="AA59" s="47"/>
      <c r="AB59" s="15"/>
    </row>
    <row r="60" spans="11:28" x14ac:dyDescent="0.2">
      <c r="K60" s="37"/>
      <c r="L60" s="37"/>
      <c r="M60" s="37"/>
      <c r="N60" s="29"/>
      <c r="O60" s="18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11:28" ht="15" x14ac:dyDescent="0.25">
      <c r="K61" s="37"/>
      <c r="L61" s="22"/>
      <c r="M61" s="22"/>
      <c r="N61" s="29"/>
      <c r="O61" s="18"/>
      <c r="S61" s="302"/>
      <c r="T61" s="302"/>
      <c r="U61" s="302"/>
      <c r="V61" s="46"/>
      <c r="W61" s="46"/>
      <c r="X61" s="46"/>
      <c r="Y61" s="46"/>
      <c r="Z61" s="47"/>
      <c r="AA61" s="15"/>
      <c r="AB61" s="15"/>
    </row>
    <row r="62" spans="11:28" ht="15" x14ac:dyDescent="0.25">
      <c r="K62" s="37"/>
      <c r="L62" s="38"/>
      <c r="M62" s="38"/>
      <c r="N62" s="29"/>
      <c r="O62" s="18"/>
      <c r="S62" s="302"/>
      <c r="T62" s="302"/>
      <c r="U62" s="302"/>
      <c r="V62" s="46"/>
      <c r="W62" s="46"/>
      <c r="X62" s="46"/>
      <c r="Y62" s="46"/>
      <c r="Z62" s="47"/>
      <c r="AA62" s="15"/>
      <c r="AB62" s="15"/>
    </row>
    <row r="63" spans="11:28" x14ac:dyDescent="0.2">
      <c r="K63" s="36"/>
      <c r="L63" s="38"/>
      <c r="M63" s="38"/>
      <c r="N63" s="29"/>
      <c r="O63" s="18"/>
      <c r="S63" s="15"/>
      <c r="T63" s="15"/>
      <c r="U63" s="15"/>
      <c r="V63" s="15"/>
      <c r="W63" s="15"/>
      <c r="X63" s="15"/>
      <c r="Y63" s="15"/>
      <c r="Z63" s="15"/>
      <c r="AA63" s="15"/>
    </row>
    <row r="64" spans="11:28" x14ac:dyDescent="0.2">
      <c r="K64" s="38"/>
      <c r="L64" s="38"/>
      <c r="M64" s="38"/>
      <c r="N64" s="10"/>
      <c r="O64" s="17"/>
      <c r="S64" s="15"/>
      <c r="T64" s="15"/>
      <c r="U64" s="15"/>
      <c r="V64" s="15"/>
      <c r="W64" s="15"/>
      <c r="X64" s="15"/>
      <c r="Y64" s="15"/>
      <c r="Z64" s="15"/>
      <c r="AA64" s="15"/>
    </row>
    <row r="65" spans="1:27" x14ac:dyDescent="0.2">
      <c r="K65" s="289"/>
      <c r="L65" s="289"/>
      <c r="M65" s="258"/>
      <c r="N65" s="10"/>
      <c r="O65" s="17"/>
      <c r="S65" s="15"/>
      <c r="T65" s="15"/>
      <c r="U65" s="15"/>
      <c r="V65" s="15"/>
      <c r="W65" s="15"/>
      <c r="X65" s="15"/>
      <c r="Y65" s="15"/>
      <c r="Z65" s="15"/>
      <c r="AA65" s="15"/>
    </row>
    <row r="66" spans="1:27" x14ac:dyDescent="0.2">
      <c r="K66" s="44"/>
      <c r="L66" s="49"/>
      <c r="M66" s="258"/>
      <c r="N66" s="10"/>
      <c r="O66" s="18"/>
      <c r="S66" s="15"/>
      <c r="T66" s="15"/>
      <c r="U66" s="15"/>
      <c r="V66" s="15"/>
      <c r="W66" s="15"/>
      <c r="X66" s="15"/>
      <c r="Y66" s="15"/>
      <c r="Z66" s="15"/>
      <c r="AA66" s="15"/>
    </row>
    <row r="67" spans="1:27" ht="15" x14ac:dyDescent="0.25">
      <c r="K67" s="33"/>
      <c r="L67" s="161"/>
      <c r="M67" s="161"/>
      <c r="N67" s="29"/>
      <c r="O67" s="18"/>
      <c r="S67" s="15"/>
      <c r="T67" s="15"/>
      <c r="U67" s="15"/>
      <c r="V67" s="15"/>
      <c r="W67" s="15"/>
      <c r="X67" s="15"/>
      <c r="Y67" s="15"/>
      <c r="Z67" s="15"/>
      <c r="AA67" s="15"/>
    </row>
    <row r="68" spans="1:27" x14ac:dyDescent="0.2">
      <c r="K68" s="35"/>
      <c r="L68" s="50"/>
      <c r="M68" s="50"/>
      <c r="N68" s="29"/>
      <c r="O68" s="18"/>
    </row>
    <row r="69" spans="1:27" x14ac:dyDescent="0.2">
      <c r="K69" s="35"/>
      <c r="L69" s="50"/>
      <c r="M69" s="50"/>
      <c r="N69" s="29"/>
      <c r="O69" s="20"/>
    </row>
    <row r="70" spans="1:27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7"/>
      <c r="K70" s="140"/>
      <c r="L70" s="140"/>
      <c r="M70" s="140"/>
      <c r="N70" s="29"/>
      <c r="O70" s="20"/>
    </row>
    <row r="71" spans="1:27" x14ac:dyDescent="0.2">
      <c r="A71" s="18"/>
      <c r="B71" s="18"/>
      <c r="C71" s="18"/>
      <c r="D71" s="18"/>
      <c r="E71" s="18"/>
      <c r="F71" s="18"/>
      <c r="G71" s="18"/>
      <c r="H71" s="18"/>
      <c r="I71" s="18"/>
      <c r="J71" s="51"/>
      <c r="K71" s="140"/>
      <c r="L71" s="140"/>
      <c r="M71" s="140"/>
      <c r="N71" s="10"/>
      <c r="O71" s="20"/>
      <c r="P71" s="15"/>
      <c r="Q71" s="15"/>
      <c r="R71" s="15"/>
    </row>
    <row r="72" spans="1:27" ht="1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52"/>
      <c r="K72" s="53"/>
      <c r="L72" s="53"/>
      <c r="M72" s="53"/>
      <c r="N72" s="54"/>
      <c r="O72" s="20"/>
      <c r="P72" s="15"/>
      <c r="Q72" s="15"/>
      <c r="R72" s="15"/>
    </row>
    <row r="73" spans="1:27" x14ac:dyDescent="0.2">
      <c r="A73" s="287"/>
      <c r="B73" s="287"/>
      <c r="C73" s="287"/>
      <c r="D73" s="287"/>
      <c r="E73" s="287"/>
      <c r="F73" s="287"/>
      <c r="G73" s="287"/>
      <c r="H73" s="287"/>
      <c r="I73" s="287"/>
      <c r="J73" s="55"/>
      <c r="K73" s="55"/>
      <c r="L73" s="55"/>
      <c r="M73" s="55"/>
      <c r="N73" s="54"/>
      <c r="O73" s="20"/>
      <c r="P73" s="56"/>
      <c r="Q73" s="15"/>
      <c r="R73" s="15"/>
    </row>
    <row r="74" spans="1:27" x14ac:dyDescent="0.2">
      <c r="A74" s="287"/>
      <c r="B74" s="287"/>
      <c r="C74" s="287"/>
      <c r="D74" s="287"/>
      <c r="E74" s="287"/>
      <c r="F74" s="287"/>
      <c r="G74" s="287"/>
      <c r="H74" s="287"/>
      <c r="I74" s="287"/>
      <c r="J74" s="55"/>
      <c r="K74" s="55"/>
      <c r="L74" s="55"/>
      <c r="M74" s="55"/>
      <c r="N74" s="301"/>
      <c r="O74" s="20"/>
      <c r="P74" s="56"/>
      <c r="Q74" s="15"/>
      <c r="R74" s="15"/>
    </row>
    <row r="75" spans="1:27" x14ac:dyDescent="0.2">
      <c r="A75" s="20"/>
      <c r="B75" s="140"/>
      <c r="C75" s="140"/>
      <c r="D75" s="140"/>
      <c r="E75" s="140"/>
      <c r="F75" s="140"/>
      <c r="G75" s="140"/>
      <c r="H75" s="140"/>
      <c r="I75" s="20"/>
      <c r="J75" s="57"/>
      <c r="K75" s="57"/>
      <c r="L75" s="57"/>
      <c r="M75" s="57"/>
      <c r="N75" s="301"/>
      <c r="O75" s="20"/>
      <c r="P75" s="15"/>
      <c r="Q75" s="15"/>
      <c r="R75" s="15"/>
    </row>
    <row r="76" spans="1:27" x14ac:dyDescent="0.2">
      <c r="A76" s="20"/>
      <c r="B76" s="140"/>
      <c r="C76" s="140"/>
      <c r="D76" s="140"/>
      <c r="E76" s="140"/>
      <c r="F76" s="140"/>
      <c r="G76" s="140"/>
      <c r="H76" s="140"/>
      <c r="I76" s="20"/>
      <c r="J76" s="20"/>
      <c r="K76" s="20"/>
      <c r="L76" s="20"/>
      <c r="M76" s="140"/>
      <c r="N76" s="20"/>
      <c r="O76" s="20"/>
      <c r="P76" s="15"/>
    </row>
    <row r="77" spans="1:27" x14ac:dyDescent="0.2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5"/>
      <c r="M77" s="15"/>
      <c r="N77" s="142"/>
      <c r="O77" s="20"/>
      <c r="P77" s="15"/>
    </row>
    <row r="78" spans="1:27" x14ac:dyDescent="0.2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2"/>
      <c r="O78" s="20"/>
      <c r="P78" s="15"/>
    </row>
    <row r="79" spans="1:27" x14ac:dyDescent="0.2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58"/>
      <c r="O79" s="18"/>
      <c r="P79" s="26"/>
    </row>
    <row r="80" spans="1:27" x14ac:dyDescent="0.2">
      <c r="A80" s="43"/>
      <c r="B80" s="43"/>
      <c r="C80" s="43"/>
      <c r="D80" s="43"/>
      <c r="E80" s="43"/>
      <c r="F80" s="43"/>
      <c r="G80" s="43"/>
      <c r="H80" s="43"/>
      <c r="I80" s="140"/>
      <c r="J80" s="140"/>
      <c r="K80" s="140"/>
      <c r="L80" s="140"/>
      <c r="M80" s="140"/>
      <c r="N80" s="58"/>
      <c r="O80" s="18"/>
      <c r="P80" s="26"/>
    </row>
    <row r="81" spans="1:18" x14ac:dyDescent="0.2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2"/>
      <c r="O81" s="42"/>
      <c r="P81" s="15"/>
    </row>
    <row r="82" spans="1:18" x14ac:dyDescent="0.2">
      <c r="A82" s="142"/>
      <c r="B82" s="142"/>
      <c r="C82" s="142"/>
      <c r="D82" s="142"/>
      <c r="E82" s="142"/>
      <c r="F82" s="142"/>
      <c r="G82" s="142"/>
      <c r="H82" s="142"/>
      <c r="I82" s="22"/>
      <c r="J82" s="140"/>
      <c r="K82" s="140"/>
      <c r="L82" s="140"/>
      <c r="M82" s="140"/>
      <c r="N82" s="142"/>
      <c r="O82" s="45"/>
    </row>
    <row r="83" spans="1:18" x14ac:dyDescent="0.2">
      <c r="A83" s="140"/>
      <c r="B83" s="140"/>
      <c r="C83" s="140"/>
      <c r="D83" s="140"/>
      <c r="E83" s="140"/>
      <c r="F83" s="140"/>
      <c r="G83" s="140"/>
      <c r="H83" s="140"/>
      <c r="I83" s="156"/>
      <c r="J83" s="156"/>
      <c r="K83" s="156"/>
      <c r="L83" s="156"/>
      <c r="M83" s="156"/>
      <c r="N83" s="142"/>
      <c r="O83" s="42"/>
    </row>
    <row r="84" spans="1:18" ht="15" x14ac:dyDescent="0.2">
      <c r="A84" s="146"/>
      <c r="B84" s="146"/>
      <c r="C84" s="146"/>
      <c r="D84" s="146"/>
      <c r="E84" s="146"/>
      <c r="F84" s="146"/>
      <c r="G84" s="146"/>
      <c r="H84" s="146"/>
      <c r="I84" s="157"/>
      <c r="J84" s="157"/>
      <c r="K84" s="157"/>
      <c r="L84" s="157"/>
      <c r="M84" s="157"/>
      <c r="N84" s="158"/>
      <c r="O84" s="42"/>
      <c r="P84" s="14"/>
    </row>
    <row r="85" spans="1:18" ht="15" x14ac:dyDescent="0.2">
      <c r="A85" s="140"/>
      <c r="B85" s="140"/>
      <c r="C85" s="140"/>
      <c r="D85" s="140"/>
      <c r="E85" s="140"/>
      <c r="F85" s="140"/>
      <c r="G85" s="140"/>
      <c r="H85" s="140"/>
      <c r="I85" s="159"/>
      <c r="J85" s="59"/>
      <c r="K85" s="59"/>
      <c r="L85" s="59"/>
      <c r="M85" s="59"/>
      <c r="N85" s="158"/>
      <c r="O85" s="42"/>
      <c r="P85" s="14"/>
    </row>
    <row r="86" spans="1:18" x14ac:dyDescent="0.2">
      <c r="A86" s="142"/>
      <c r="B86" s="142"/>
      <c r="C86" s="142"/>
      <c r="D86" s="142"/>
      <c r="E86" s="142"/>
      <c r="F86" s="142"/>
      <c r="G86" s="142"/>
      <c r="H86" s="142"/>
      <c r="I86" s="59"/>
      <c r="J86" s="59"/>
      <c r="K86" s="59"/>
      <c r="L86" s="59"/>
      <c r="M86" s="59"/>
      <c r="N86" s="158"/>
      <c r="O86" s="42"/>
      <c r="P86" s="14"/>
      <c r="Q86" s="14"/>
      <c r="R86" s="14"/>
    </row>
    <row r="87" spans="1:18" x14ac:dyDescent="0.2">
      <c r="A87" s="140"/>
      <c r="B87" s="140"/>
      <c r="C87" s="140"/>
      <c r="D87" s="140"/>
      <c r="E87" s="140"/>
      <c r="F87" s="140"/>
      <c r="G87" s="140"/>
      <c r="H87" s="140"/>
      <c r="I87" s="160"/>
      <c r="J87" s="160"/>
      <c r="K87" s="160"/>
      <c r="L87" s="160"/>
      <c r="M87" s="160"/>
      <c r="N87" s="142"/>
      <c r="O87" s="42"/>
    </row>
    <row r="88" spans="1:18" x14ac:dyDescent="0.2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2"/>
      <c r="O88" s="45"/>
    </row>
    <row r="89" spans="1:18" x14ac:dyDescent="0.2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2"/>
      <c r="O89" s="42"/>
    </row>
    <row r="90" spans="1:18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0"/>
      <c r="O90" s="42"/>
      <c r="P90" s="14"/>
      <c r="Q90" s="14"/>
      <c r="R90" s="14"/>
    </row>
    <row r="91" spans="1:18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0"/>
      <c r="O91" s="18"/>
      <c r="P91" s="14"/>
      <c r="Q91" s="14"/>
      <c r="R91" s="14"/>
    </row>
    <row r="92" spans="1:18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0"/>
      <c r="O92" s="18"/>
      <c r="P92" s="14"/>
      <c r="Q92" s="14"/>
      <c r="R92" s="14"/>
    </row>
    <row r="93" spans="1:18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0"/>
      <c r="O93" s="18"/>
      <c r="P93" s="14"/>
      <c r="Q93" s="14"/>
      <c r="R93" s="14"/>
    </row>
    <row r="94" spans="1:18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0"/>
      <c r="O94" s="18"/>
    </row>
    <row r="95" spans="1:18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0"/>
      <c r="O95" s="18"/>
    </row>
    <row r="96" spans="1:18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0"/>
      <c r="O96" s="18"/>
    </row>
    <row r="97" spans="1:15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0"/>
      <c r="O97" s="18"/>
    </row>
    <row r="98" spans="1:15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0"/>
      <c r="O98" s="18"/>
    </row>
    <row r="99" spans="1:15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0"/>
      <c r="O99" s="18"/>
    </row>
    <row r="100" spans="1:15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0"/>
      <c r="O100" s="18"/>
    </row>
    <row r="101" spans="1:15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0"/>
      <c r="O101" s="18"/>
    </row>
    <row r="102" spans="1:15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0"/>
    </row>
    <row r="103" spans="1:15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0"/>
    </row>
    <row r="104" spans="1:15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0"/>
    </row>
  </sheetData>
  <mergeCells count="71">
    <mergeCell ref="A3:A4"/>
    <mergeCell ref="I3:I4"/>
    <mergeCell ref="J3:J4"/>
    <mergeCell ref="D3:D4"/>
    <mergeCell ref="C3:C4"/>
    <mergeCell ref="A22:A23"/>
    <mergeCell ref="I22:I23"/>
    <mergeCell ref="C22:C23"/>
    <mergeCell ref="J22:J23"/>
    <mergeCell ref="K22:K23"/>
    <mergeCell ref="E22:E23"/>
    <mergeCell ref="F22:F23"/>
    <mergeCell ref="Q52:R52"/>
    <mergeCell ref="Q53:R53"/>
    <mergeCell ref="O16:O17"/>
    <mergeCell ref="S16:S17"/>
    <mergeCell ref="K54:L54"/>
    <mergeCell ref="P45:P46"/>
    <mergeCell ref="Q45:Q46"/>
    <mergeCell ref="R45:R46"/>
    <mergeCell ref="S32:T32"/>
    <mergeCell ref="S33:T33"/>
    <mergeCell ref="K42:L42"/>
    <mergeCell ref="A73:I73"/>
    <mergeCell ref="A74:I74"/>
    <mergeCell ref="N74:N75"/>
    <mergeCell ref="S57:U57"/>
    <mergeCell ref="S58:U58"/>
    <mergeCell ref="S59:U59"/>
    <mergeCell ref="S61:U61"/>
    <mergeCell ref="S62:U62"/>
    <mergeCell ref="K65:L65"/>
    <mergeCell ref="G22:G23"/>
    <mergeCell ref="H22:H23"/>
    <mergeCell ref="B3:B4"/>
    <mergeCell ref="E3:E4"/>
    <mergeCell ref="G3:G4"/>
    <mergeCell ref="H3:H4"/>
    <mergeCell ref="F3:F4"/>
    <mergeCell ref="D22:D23"/>
    <mergeCell ref="A1:E2"/>
    <mergeCell ref="O2:R3"/>
    <mergeCell ref="O13:Y15"/>
    <mergeCell ref="T16:T17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U16:U17"/>
    <mergeCell ref="K3:K4"/>
    <mergeCell ref="XFD3:XFD4"/>
    <mergeCell ref="L3:L4"/>
    <mergeCell ref="Z16:Z17"/>
    <mergeCell ref="Z4:Z5"/>
    <mergeCell ref="V16:V17"/>
    <mergeCell ref="W16:W17"/>
    <mergeCell ref="X16:X17"/>
    <mergeCell ref="Y16:Y17"/>
    <mergeCell ref="P16:P17"/>
    <mergeCell ref="Q16:Q17"/>
    <mergeCell ref="R16:R17"/>
    <mergeCell ref="O4:O5"/>
    <mergeCell ref="M3:M4"/>
    <mergeCell ref="AA4:AA5"/>
    <mergeCell ref="AA16:AA17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18"/>
  <sheetViews>
    <sheetView showGridLines="0" topLeftCell="M1" workbookViewId="0">
      <selection activeCell="V20" sqref="V20"/>
    </sheetView>
  </sheetViews>
  <sheetFormatPr defaultRowHeight="12.75" x14ac:dyDescent="0.2"/>
  <cols>
    <col min="1" max="1" width="25.7109375" style="62" customWidth="1"/>
    <col min="2" max="2" width="10.85546875" style="3" customWidth="1"/>
    <col min="3" max="3" width="10.28515625" style="3" customWidth="1"/>
    <col min="4" max="4" width="11.140625" style="3" customWidth="1"/>
    <col min="5" max="5" width="10.140625" style="3" customWidth="1"/>
    <col min="6" max="6" width="9.5703125" style="3" customWidth="1"/>
    <col min="7" max="7" width="9.85546875" style="3" customWidth="1"/>
    <col min="8" max="12" width="9.42578125" style="3" customWidth="1"/>
    <col min="13" max="13" width="9.5703125" style="3" customWidth="1"/>
    <col min="14" max="14" width="38.85546875" style="3" customWidth="1"/>
    <col min="15" max="15" width="9.140625" style="3" customWidth="1"/>
    <col min="16" max="16" width="10.42578125" style="3" customWidth="1"/>
    <col min="17" max="17" width="9.42578125" style="3" customWidth="1"/>
    <col min="18" max="18" width="10" style="3" customWidth="1"/>
    <col min="19" max="19" width="10.28515625" style="3" customWidth="1"/>
    <col min="20" max="20" width="9.140625" style="3"/>
    <col min="21" max="21" width="8" style="3" customWidth="1"/>
    <col min="22" max="22" width="6.85546875" style="3" customWidth="1"/>
    <col min="23" max="23" width="7" style="3" customWidth="1"/>
    <col min="24" max="26" width="9.140625" style="3"/>
    <col min="27" max="27" width="20.7109375" style="3" customWidth="1"/>
    <col min="28" max="28" width="10.42578125" style="3" customWidth="1"/>
    <col min="29" max="30" width="9.140625" style="3"/>
    <col min="31" max="31" width="10.5703125" style="3" customWidth="1"/>
    <col min="32" max="32" width="8.28515625" style="3" customWidth="1"/>
    <col min="33" max="33" width="7.140625" style="3" customWidth="1"/>
    <col min="34" max="34" width="10.140625" style="3" customWidth="1"/>
    <col min="35" max="35" width="9.28515625" style="3" customWidth="1"/>
    <col min="36" max="36" width="6.7109375" style="3" customWidth="1"/>
    <col min="37" max="16384" width="9.140625" style="3"/>
  </cols>
  <sheetData>
    <row r="2" spans="1:31" x14ac:dyDescent="0.2">
      <c r="A2" s="62" t="s">
        <v>59</v>
      </c>
      <c r="B2" s="6"/>
      <c r="C2" s="6"/>
      <c r="D2" s="6"/>
      <c r="E2" s="3" t="s">
        <v>60</v>
      </c>
      <c r="N2" s="3" t="s">
        <v>113</v>
      </c>
    </row>
    <row r="3" spans="1:31" x14ac:dyDescent="0.2">
      <c r="N3" s="3" t="s">
        <v>61</v>
      </c>
    </row>
    <row r="4" spans="1:31" x14ac:dyDescent="0.2">
      <c r="A4" s="235"/>
      <c r="B4" s="217"/>
      <c r="C4" s="236"/>
      <c r="D4" s="217"/>
      <c r="E4" s="217"/>
      <c r="F4" s="217"/>
      <c r="G4" s="217"/>
      <c r="H4" s="217"/>
      <c r="I4" s="217"/>
      <c r="J4" s="217"/>
      <c r="K4" s="217"/>
      <c r="L4" s="8"/>
      <c r="N4" s="9"/>
      <c r="O4" s="63"/>
      <c r="P4" s="9"/>
      <c r="Q4" s="9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1" ht="12.75" customHeight="1" x14ac:dyDescent="0.2">
      <c r="A5" s="333" t="s">
        <v>62</v>
      </c>
      <c r="B5" s="336">
        <v>2008</v>
      </c>
      <c r="C5" s="336">
        <v>2009</v>
      </c>
      <c r="D5" s="321">
        <v>2010</v>
      </c>
      <c r="E5" s="324">
        <v>2011</v>
      </c>
      <c r="F5" s="336">
        <v>2012</v>
      </c>
      <c r="G5" s="321">
        <v>2013</v>
      </c>
      <c r="H5" s="324">
        <v>2014</v>
      </c>
      <c r="I5" s="336">
        <v>2015</v>
      </c>
      <c r="J5" s="321">
        <v>2016</v>
      </c>
      <c r="K5" s="315">
        <v>2017</v>
      </c>
      <c r="L5" s="331">
        <v>2018</v>
      </c>
      <c r="N5" s="320" t="s">
        <v>63</v>
      </c>
      <c r="O5" s="367">
        <v>2008</v>
      </c>
      <c r="P5" s="330">
        <v>2009</v>
      </c>
      <c r="Q5" s="327">
        <v>2010</v>
      </c>
      <c r="R5" s="314">
        <v>2011</v>
      </c>
      <c r="S5" s="314">
        <v>2012</v>
      </c>
      <c r="T5" s="314">
        <v>2013</v>
      </c>
      <c r="U5" s="314">
        <v>2014</v>
      </c>
      <c r="V5" s="330">
        <v>2015</v>
      </c>
      <c r="W5" s="330">
        <v>2016</v>
      </c>
      <c r="X5" s="314">
        <v>2017</v>
      </c>
      <c r="Y5" s="314">
        <v>2018</v>
      </c>
      <c r="Z5" s="314">
        <v>2019</v>
      </c>
      <c r="AA5" s="8"/>
      <c r="AB5" s="8"/>
      <c r="AC5" s="8"/>
      <c r="AD5" s="8"/>
    </row>
    <row r="6" spans="1:31" ht="15.75" customHeight="1" x14ac:dyDescent="0.2">
      <c r="A6" s="334"/>
      <c r="B6" s="337"/>
      <c r="C6" s="337"/>
      <c r="D6" s="322"/>
      <c r="E6" s="325"/>
      <c r="F6" s="337"/>
      <c r="G6" s="322"/>
      <c r="H6" s="325"/>
      <c r="I6" s="337"/>
      <c r="J6" s="322"/>
      <c r="K6" s="315"/>
      <c r="L6" s="315"/>
      <c r="N6" s="329"/>
      <c r="O6" s="368"/>
      <c r="P6" s="328"/>
      <c r="Q6" s="328"/>
      <c r="R6" s="332"/>
      <c r="S6" s="332"/>
      <c r="T6" s="332"/>
      <c r="U6" s="332"/>
      <c r="V6" s="328"/>
      <c r="W6" s="328"/>
      <c r="X6" s="332"/>
      <c r="Y6" s="315"/>
      <c r="Z6" s="315"/>
      <c r="AA6" s="8"/>
      <c r="AB6" s="8"/>
      <c r="AC6" s="77"/>
      <c r="AD6" s="8"/>
    </row>
    <row r="7" spans="1:31" ht="15" x14ac:dyDescent="0.2">
      <c r="A7" s="335"/>
      <c r="B7" s="338"/>
      <c r="C7" s="338"/>
      <c r="D7" s="323"/>
      <c r="E7" s="326"/>
      <c r="F7" s="338"/>
      <c r="G7" s="323"/>
      <c r="H7" s="326"/>
      <c r="I7" s="338"/>
      <c r="J7" s="323"/>
      <c r="K7" s="332"/>
      <c r="L7" s="332"/>
      <c r="N7" s="64" t="s">
        <v>64</v>
      </c>
      <c r="O7" s="369">
        <v>0</v>
      </c>
      <c r="P7" s="219">
        <v>14.11</v>
      </c>
      <c r="Q7" s="221">
        <f>38887.9*1000/1000000</f>
        <v>38.887900000000002</v>
      </c>
      <c r="R7" s="222">
        <f>35531.4*1000/1000000</f>
        <v>35.531399999999998</v>
      </c>
      <c r="S7" s="223">
        <f>101552.3*1000/1000000</f>
        <v>101.5523</v>
      </c>
      <c r="T7" s="223">
        <v>46.3</v>
      </c>
      <c r="U7" s="224">
        <v>109</v>
      </c>
      <c r="V7" s="222">
        <v>1.4</v>
      </c>
      <c r="W7" s="222">
        <v>269.60000000000002</v>
      </c>
      <c r="X7" s="222">
        <v>132.5</v>
      </c>
      <c r="Y7" s="261">
        <v>247.1</v>
      </c>
      <c r="Z7" s="366">
        <v>263.39999999999998</v>
      </c>
      <c r="AA7" s="8"/>
      <c r="AB7" s="77"/>
      <c r="AC7" s="77"/>
      <c r="AD7" s="77"/>
      <c r="AE7" s="7"/>
    </row>
    <row r="8" spans="1:31" ht="15" x14ac:dyDescent="0.25">
      <c r="A8" s="226" t="s">
        <v>66</v>
      </c>
      <c r="B8" s="169">
        <v>24199.9</v>
      </c>
      <c r="C8" s="169">
        <v>25466.7</v>
      </c>
      <c r="D8" s="169">
        <v>29311.3</v>
      </c>
      <c r="E8" s="169">
        <v>38872.1</v>
      </c>
      <c r="F8" s="169">
        <v>58081.599999999999</v>
      </c>
      <c r="G8" s="169">
        <v>49424.1</v>
      </c>
      <c r="H8" s="169">
        <v>62574.1</v>
      </c>
      <c r="I8" s="169">
        <v>57885.9</v>
      </c>
      <c r="J8" s="169">
        <v>61394</v>
      </c>
      <c r="K8" s="169">
        <v>63362.400000000001</v>
      </c>
      <c r="L8" s="169">
        <v>69608.850000000006</v>
      </c>
      <c r="M8" s="7"/>
      <c r="N8" s="213" t="s">
        <v>67</v>
      </c>
      <c r="O8" s="370">
        <v>0</v>
      </c>
      <c r="P8" s="201"/>
      <c r="Q8" s="209">
        <f>427.7*1000/1000000</f>
        <v>0.42770000000000002</v>
      </c>
      <c r="R8" s="210">
        <f>2227.1*1000/1000000</f>
        <v>2.2271000000000001</v>
      </c>
      <c r="S8" s="169">
        <f>252.6*1000/1000000</f>
        <v>0.25259999999999999</v>
      </c>
      <c r="T8" s="204">
        <v>14.8</v>
      </c>
      <c r="U8" s="208"/>
      <c r="V8" s="167">
        <v>0.05</v>
      </c>
      <c r="W8" s="167">
        <v>30.5</v>
      </c>
      <c r="X8" s="204">
        <v>20.6</v>
      </c>
      <c r="Y8" s="135"/>
      <c r="Z8" s="8"/>
      <c r="AA8" s="8"/>
      <c r="AB8" s="77"/>
      <c r="AC8" s="77"/>
      <c r="AD8" s="77"/>
      <c r="AE8" s="7"/>
    </row>
    <row r="9" spans="1:31" ht="14.25" x14ac:dyDescent="0.2">
      <c r="A9" s="227" t="s">
        <v>65</v>
      </c>
      <c r="B9" s="169">
        <v>13896.8</v>
      </c>
      <c r="C9" s="169">
        <v>14597.5</v>
      </c>
      <c r="D9" s="169">
        <v>16825.900000000001</v>
      </c>
      <c r="E9" s="169">
        <v>20550.8</v>
      </c>
      <c r="F9" s="169">
        <v>31173.1</v>
      </c>
      <c r="G9" s="169">
        <v>26390.3</v>
      </c>
      <c r="H9" s="169">
        <v>28831.7</v>
      </c>
      <c r="I9" s="169">
        <v>30122.3</v>
      </c>
      <c r="J9" s="169">
        <v>29694.6</v>
      </c>
      <c r="K9" s="169">
        <v>30016.799999999999</v>
      </c>
      <c r="L9" s="169">
        <v>31132.22</v>
      </c>
      <c r="N9" s="213" t="s">
        <v>68</v>
      </c>
      <c r="O9" s="370">
        <v>0</v>
      </c>
      <c r="P9" s="201">
        <v>0.13</v>
      </c>
      <c r="Q9" s="209">
        <f>485.7*1000/1000000</f>
        <v>0.48570000000000002</v>
      </c>
      <c r="R9" s="210">
        <f>245.3*1000/1000000</f>
        <v>0.24529999999999999</v>
      </c>
      <c r="S9" s="204"/>
      <c r="T9" s="204">
        <v>3.4</v>
      </c>
      <c r="U9" s="208"/>
      <c r="V9" s="167">
        <v>0.04</v>
      </c>
      <c r="W9" s="167">
        <v>27.2</v>
      </c>
      <c r="X9" s="167">
        <v>42.2</v>
      </c>
      <c r="Y9" s="135"/>
      <c r="Z9" s="8"/>
      <c r="AA9" s="8"/>
      <c r="AB9" s="77"/>
      <c r="AC9" s="77"/>
      <c r="AD9" s="77"/>
      <c r="AE9" s="7"/>
    </row>
    <row r="10" spans="1:31" ht="14.25" x14ac:dyDescent="0.2">
      <c r="A10" s="220" t="s">
        <v>68</v>
      </c>
      <c r="B10" s="169">
        <v>1325.2</v>
      </c>
      <c r="C10" s="169">
        <v>1523.4</v>
      </c>
      <c r="D10" s="169">
        <v>1718.9</v>
      </c>
      <c r="E10" s="169">
        <v>2207.4</v>
      </c>
      <c r="F10" s="169">
        <v>3292.3</v>
      </c>
      <c r="G10" s="169">
        <v>2894.8</v>
      </c>
      <c r="H10" s="169">
        <v>3172</v>
      </c>
      <c r="I10" s="169">
        <v>3304.5</v>
      </c>
      <c r="J10" s="169">
        <v>3285.2</v>
      </c>
      <c r="K10" s="169">
        <v>3318</v>
      </c>
      <c r="L10" s="169">
        <v>3746.73</v>
      </c>
      <c r="N10" s="213" t="s">
        <v>70</v>
      </c>
      <c r="O10" s="370">
        <v>0</v>
      </c>
      <c r="P10" s="201"/>
      <c r="Q10" s="209"/>
      <c r="R10" s="210"/>
      <c r="S10" s="204"/>
      <c r="T10" s="204"/>
      <c r="U10" s="208"/>
      <c r="V10" s="167">
        <v>0.5</v>
      </c>
      <c r="W10" s="167">
        <v>7.1</v>
      </c>
      <c r="X10" s="167"/>
      <c r="Y10" s="135"/>
      <c r="Z10" s="8"/>
      <c r="AA10" s="8"/>
      <c r="AB10" s="77"/>
      <c r="AC10" s="77"/>
      <c r="AD10" s="77"/>
      <c r="AE10" s="7"/>
    </row>
    <row r="11" spans="1:31" ht="14.25" x14ac:dyDescent="0.2">
      <c r="A11" s="227" t="s">
        <v>69</v>
      </c>
      <c r="B11" s="169">
        <v>7717.6</v>
      </c>
      <c r="C11" s="192">
        <v>6936.1</v>
      </c>
      <c r="D11" s="169">
        <v>8904</v>
      </c>
      <c r="E11" s="169">
        <v>12637</v>
      </c>
      <c r="F11" s="169">
        <v>16309.9</v>
      </c>
      <c r="G11" s="169">
        <v>10868.3</v>
      </c>
      <c r="H11" s="169">
        <v>12028.8</v>
      </c>
      <c r="I11" s="169">
        <v>12922.1</v>
      </c>
      <c r="J11" s="169">
        <v>12590.9</v>
      </c>
      <c r="K11" s="169">
        <v>13470.8</v>
      </c>
      <c r="L11" s="169">
        <v>14481.6</v>
      </c>
      <c r="N11" s="213" t="s">
        <v>72</v>
      </c>
      <c r="O11" s="370">
        <v>0</v>
      </c>
      <c r="P11" s="201"/>
      <c r="Q11" s="209"/>
      <c r="R11" s="210"/>
      <c r="S11" s="204"/>
      <c r="T11" s="204"/>
      <c r="U11" s="208"/>
      <c r="V11" s="167">
        <v>0.2</v>
      </c>
      <c r="W11" s="167">
        <v>2</v>
      </c>
      <c r="X11" s="167">
        <v>1.1000000000000001</v>
      </c>
      <c r="Y11" s="135"/>
      <c r="Z11" s="8"/>
      <c r="AA11" s="8"/>
      <c r="AB11" s="77"/>
      <c r="AC11" s="77"/>
      <c r="AD11" s="77"/>
      <c r="AE11" s="7"/>
    </row>
    <row r="12" spans="1:31" ht="14.25" x14ac:dyDescent="0.2">
      <c r="A12" s="227" t="s">
        <v>71</v>
      </c>
      <c r="B12" s="169">
        <v>447.9</v>
      </c>
      <c r="C12" s="169">
        <v>1723.9</v>
      </c>
      <c r="D12" s="192">
        <v>1545.8</v>
      </c>
      <c r="E12" s="169">
        <v>1518.1</v>
      </c>
      <c r="F12" s="169">
        <v>4389</v>
      </c>
      <c r="G12" s="169">
        <v>9212.7999999999993</v>
      </c>
      <c r="H12" s="169">
        <v>3335.7</v>
      </c>
      <c r="I12" s="169">
        <v>2531.5</v>
      </c>
      <c r="J12" s="169">
        <v>3443.1</v>
      </c>
      <c r="K12" s="169">
        <v>6248.6</v>
      </c>
      <c r="L12" s="169">
        <v>3428.3</v>
      </c>
      <c r="M12" s="7"/>
      <c r="N12" s="213" t="s">
        <v>74</v>
      </c>
      <c r="O12" s="370">
        <v>0</v>
      </c>
      <c r="P12" s="201"/>
      <c r="Q12" s="209">
        <f>4305*1000/1000000</f>
        <v>4.3049999999999997</v>
      </c>
      <c r="R12" s="210">
        <f>1065.6*1000/1000000</f>
        <v>1.0656000000000001</v>
      </c>
      <c r="S12" s="169">
        <f>69225.2*1000/1000000</f>
        <v>69.225200000000001</v>
      </c>
      <c r="T12" s="204">
        <v>18.600000000000001</v>
      </c>
      <c r="U12" s="208"/>
      <c r="V12" s="167">
        <v>0.1</v>
      </c>
      <c r="W12" s="167">
        <v>115.5</v>
      </c>
      <c r="X12" s="167">
        <v>28.4</v>
      </c>
      <c r="Y12" s="135"/>
      <c r="Z12" s="8"/>
      <c r="AA12" s="8"/>
      <c r="AB12" s="77"/>
      <c r="AC12" s="77"/>
      <c r="AD12" s="77"/>
      <c r="AE12" s="7"/>
    </row>
    <row r="13" spans="1:31" ht="14.25" x14ac:dyDescent="0.2">
      <c r="A13" s="227" t="s">
        <v>75</v>
      </c>
      <c r="B13" s="169">
        <v>812.3</v>
      </c>
      <c r="C13" s="192">
        <v>685.7</v>
      </c>
      <c r="D13" s="169">
        <v>316.7</v>
      </c>
      <c r="E13" s="169">
        <v>1958.7</v>
      </c>
      <c r="F13" s="169">
        <v>2917.3</v>
      </c>
      <c r="G13" s="169">
        <v>57.8</v>
      </c>
      <c r="H13" s="169">
        <v>8282.5</v>
      </c>
      <c r="I13" s="169">
        <v>1495.7</v>
      </c>
      <c r="J13" s="169">
        <v>4332.8999999999996</v>
      </c>
      <c r="K13" s="169">
        <v>2010.6</v>
      </c>
      <c r="L13" s="169">
        <v>6619</v>
      </c>
      <c r="M13" s="7"/>
      <c r="N13" s="213" t="s">
        <v>76</v>
      </c>
      <c r="O13" s="370">
        <v>0</v>
      </c>
      <c r="P13" s="201"/>
      <c r="Q13" s="209"/>
      <c r="R13" s="210"/>
      <c r="S13" s="169">
        <f>1227.5*1000/1000000</f>
        <v>1.2275</v>
      </c>
      <c r="T13" s="204"/>
      <c r="U13" s="208"/>
      <c r="V13" s="167">
        <v>0.13</v>
      </c>
      <c r="W13" s="167"/>
      <c r="X13" s="167">
        <v>0.1</v>
      </c>
      <c r="Y13" s="135"/>
      <c r="Z13" s="8"/>
      <c r="AA13" s="8"/>
      <c r="AB13" s="77"/>
      <c r="AC13" s="77"/>
      <c r="AD13" s="8"/>
    </row>
    <row r="14" spans="1:31" ht="28.5" x14ac:dyDescent="0.2">
      <c r="A14" s="228" t="s">
        <v>77</v>
      </c>
      <c r="B14" s="168">
        <v>7509.9</v>
      </c>
      <c r="C14" s="168"/>
      <c r="D14" s="168"/>
      <c r="E14" s="168"/>
      <c r="F14" s="168"/>
      <c r="G14" s="168"/>
      <c r="H14" s="168">
        <v>6923.4</v>
      </c>
      <c r="I14" s="168">
        <v>7509.9</v>
      </c>
      <c r="J14" s="168">
        <v>8047.3</v>
      </c>
      <c r="K14" s="168">
        <v>8297.6</v>
      </c>
      <c r="L14" s="168">
        <v>10201</v>
      </c>
      <c r="M14" s="7"/>
      <c r="N14" s="213" t="s">
        <v>78</v>
      </c>
      <c r="O14" s="371">
        <v>0</v>
      </c>
      <c r="P14" s="201"/>
      <c r="Q14" s="209"/>
      <c r="R14" s="210"/>
      <c r="S14" s="169"/>
      <c r="T14" s="204"/>
      <c r="U14" s="208"/>
      <c r="V14" s="208">
        <v>5.0000000000000001E-3</v>
      </c>
      <c r="W14" s="208"/>
      <c r="X14" s="208"/>
      <c r="Y14" s="135"/>
      <c r="Z14" s="8"/>
      <c r="AA14" s="131"/>
      <c r="AB14" s="77"/>
      <c r="AC14" s="8"/>
      <c r="AD14" s="8"/>
    </row>
    <row r="15" spans="1:31" ht="14.25" x14ac:dyDescent="0.2">
      <c r="A15" s="227" t="s">
        <v>79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 t="s">
        <v>0</v>
      </c>
      <c r="M15" s="69"/>
      <c r="N15" s="213" t="s">
        <v>80</v>
      </c>
      <c r="O15" s="370">
        <v>0</v>
      </c>
      <c r="P15" s="201"/>
      <c r="Q15" s="209"/>
      <c r="R15" s="210"/>
      <c r="S15" s="169"/>
      <c r="T15" s="204"/>
      <c r="U15" s="208"/>
      <c r="V15" s="208">
        <v>0.02</v>
      </c>
      <c r="W15" s="208">
        <v>3.1</v>
      </c>
      <c r="X15" s="208">
        <v>2.2999999999999998</v>
      </c>
      <c r="Y15" s="135"/>
      <c r="Z15" s="8"/>
      <c r="AA15" s="131"/>
      <c r="AB15" s="77"/>
      <c r="AC15" s="8"/>
      <c r="AD15" s="8"/>
    </row>
    <row r="16" spans="1:31" ht="14.25" x14ac:dyDescent="0.2">
      <c r="A16" s="227" t="s">
        <v>81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M16" s="7"/>
      <c r="N16" s="213" t="s">
        <v>82</v>
      </c>
      <c r="O16" s="370"/>
      <c r="P16" s="201">
        <v>2.8</v>
      </c>
      <c r="Q16" s="209">
        <f>5020.4*1000/1000000</f>
        <v>5.0204000000000004</v>
      </c>
      <c r="R16" s="210"/>
      <c r="S16" s="169"/>
      <c r="T16" s="169">
        <v>2.1</v>
      </c>
      <c r="U16" s="208"/>
      <c r="V16" s="208">
        <v>0.14000000000000001</v>
      </c>
      <c r="W16" s="208">
        <v>20</v>
      </c>
      <c r="X16" s="208">
        <v>4.3</v>
      </c>
      <c r="Y16" s="135"/>
      <c r="Z16" s="8"/>
      <c r="AA16" s="8"/>
      <c r="AB16" s="8"/>
      <c r="AC16" s="8"/>
      <c r="AD16" s="8"/>
    </row>
    <row r="17" spans="1:37" ht="14.25" x14ac:dyDescent="0.2">
      <c r="A17" s="227" t="s">
        <v>73</v>
      </c>
      <c r="B17" s="169"/>
      <c r="C17" s="169"/>
      <c r="D17" s="169"/>
      <c r="E17" s="169"/>
      <c r="F17" s="193"/>
      <c r="G17" s="169"/>
      <c r="H17" s="167"/>
      <c r="I17" s="167"/>
      <c r="J17" s="167"/>
      <c r="K17" s="167"/>
      <c r="M17" s="7"/>
      <c r="N17" s="213" t="s">
        <v>83</v>
      </c>
      <c r="O17" s="370">
        <v>0</v>
      </c>
      <c r="P17" s="201"/>
      <c r="Q17" s="209"/>
      <c r="R17" s="210"/>
      <c r="S17" s="169"/>
      <c r="T17" s="169"/>
      <c r="U17" s="204"/>
      <c r="V17" s="204">
        <v>0.02</v>
      </c>
      <c r="W17" s="204">
        <v>3.1</v>
      </c>
      <c r="X17" s="208">
        <v>1</v>
      </c>
      <c r="Y17" s="137"/>
      <c r="AC17" s="7"/>
    </row>
    <row r="18" spans="1:37" ht="14.25" x14ac:dyDescent="0.2">
      <c r="A18" s="237" t="s">
        <v>84</v>
      </c>
      <c r="B18" s="238" t="s">
        <v>0</v>
      </c>
      <c r="C18" s="238" t="s">
        <v>0</v>
      </c>
      <c r="D18" s="238" t="s">
        <v>0</v>
      </c>
      <c r="E18" s="239"/>
      <c r="F18" s="239"/>
      <c r="G18" s="239"/>
      <c r="H18" s="239"/>
      <c r="I18" s="239"/>
      <c r="J18" s="239"/>
      <c r="K18" s="239"/>
      <c r="L18" s="217"/>
      <c r="M18" s="7"/>
      <c r="N18" s="213" t="s">
        <v>85</v>
      </c>
      <c r="O18" s="370">
        <v>0</v>
      </c>
      <c r="P18" s="201">
        <v>0.74</v>
      </c>
      <c r="Q18" s="209"/>
      <c r="R18" s="210"/>
      <c r="S18" s="169"/>
      <c r="T18" s="169"/>
      <c r="U18" s="204"/>
      <c r="V18" s="204">
        <v>0.02</v>
      </c>
      <c r="W18" s="204">
        <v>1.3</v>
      </c>
      <c r="X18" s="204">
        <v>2.6</v>
      </c>
      <c r="Y18" s="137"/>
      <c r="AB18" s="7"/>
      <c r="AC18" s="7"/>
    </row>
    <row r="19" spans="1:37" ht="14.25" x14ac:dyDescent="0.2">
      <c r="A19" s="229" t="s">
        <v>86</v>
      </c>
      <c r="B19" s="168">
        <v>1494.6</v>
      </c>
      <c r="C19" s="172">
        <v>14.1</v>
      </c>
      <c r="D19" s="195">
        <v>38.9</v>
      </c>
      <c r="E19" s="168">
        <v>35.5</v>
      </c>
      <c r="F19" s="168">
        <v>101.6</v>
      </c>
      <c r="G19" s="168">
        <v>46.3</v>
      </c>
      <c r="H19" s="168">
        <v>109</v>
      </c>
      <c r="I19" s="168">
        <v>1494.6</v>
      </c>
      <c r="J19" s="168">
        <v>269.60000000000002</v>
      </c>
      <c r="K19" s="168">
        <v>132.5</v>
      </c>
      <c r="L19" s="169">
        <v>241.7</v>
      </c>
      <c r="M19" s="71"/>
      <c r="N19" s="213" t="s">
        <v>87</v>
      </c>
      <c r="O19" s="372">
        <v>0</v>
      </c>
      <c r="P19" s="202"/>
      <c r="Q19" s="209">
        <f>4102.2*1000/1000000</f>
        <v>4.1021999999999998</v>
      </c>
      <c r="R19" s="210">
        <f>1610.5*1000/1000000</f>
        <v>1.6105</v>
      </c>
      <c r="S19" s="169">
        <f>7261*1000/1000000</f>
        <v>7.2610000000000001</v>
      </c>
      <c r="T19" s="169">
        <v>6.4</v>
      </c>
      <c r="U19" s="204">
        <v>0.1</v>
      </c>
      <c r="V19" s="204">
        <v>0.05</v>
      </c>
      <c r="W19" s="204">
        <v>9.8000000000000007</v>
      </c>
      <c r="X19" s="204">
        <v>7.8</v>
      </c>
      <c r="Y19" s="137"/>
      <c r="AB19" s="7"/>
      <c r="AC19" s="7"/>
    </row>
    <row r="20" spans="1:37" ht="14.25" x14ac:dyDescent="0.2">
      <c r="A20" s="218" t="s">
        <v>88</v>
      </c>
      <c r="B20" s="168">
        <v>2.5</v>
      </c>
      <c r="C20" s="172">
        <v>70.5</v>
      </c>
      <c r="D20" s="195">
        <v>69.7</v>
      </c>
      <c r="E20" s="168">
        <v>91.6</v>
      </c>
      <c r="F20" s="168">
        <v>90.5</v>
      </c>
      <c r="G20" s="168">
        <v>75.8</v>
      </c>
      <c r="H20" s="168">
        <v>69.599999999999994</v>
      </c>
      <c r="I20" s="168">
        <v>84.4</v>
      </c>
      <c r="J20" s="168">
        <v>76.400000000000006</v>
      </c>
      <c r="K20" s="168">
        <v>96.2</v>
      </c>
      <c r="L20" s="167">
        <v>82.4</v>
      </c>
      <c r="M20" s="71"/>
      <c r="N20" s="213" t="s">
        <v>89</v>
      </c>
      <c r="O20" s="370">
        <v>0</v>
      </c>
      <c r="P20" s="201"/>
      <c r="Q20" s="209"/>
      <c r="R20" s="210">
        <f>2587.3*1000/1000000</f>
        <v>2.5872999999999999</v>
      </c>
      <c r="S20" s="169"/>
      <c r="T20" s="204"/>
      <c r="U20" s="204">
        <v>3.2</v>
      </c>
      <c r="V20" s="204">
        <v>0.16</v>
      </c>
      <c r="W20" s="204">
        <v>3.4</v>
      </c>
      <c r="X20" s="204">
        <v>1.5</v>
      </c>
      <c r="Y20" s="137"/>
      <c r="AB20" s="7"/>
      <c r="AC20" s="7"/>
    </row>
    <row r="21" spans="1:37" ht="28.5" x14ac:dyDescent="0.2">
      <c r="A21" s="230" t="s">
        <v>90</v>
      </c>
      <c r="B21" s="171"/>
      <c r="C21" s="171"/>
      <c r="D21" s="171"/>
      <c r="E21" s="168">
        <v>8022.4</v>
      </c>
      <c r="F21" s="168">
        <v>12061.1</v>
      </c>
      <c r="G21" s="166">
        <v>16811.8</v>
      </c>
      <c r="H21" s="166">
        <v>25782.6</v>
      </c>
      <c r="I21" s="166">
        <v>22702.5</v>
      </c>
      <c r="J21" s="166">
        <v>23631.1</v>
      </c>
      <c r="K21" s="166">
        <v>22840.9</v>
      </c>
      <c r="L21" s="167">
        <v>28985.9</v>
      </c>
      <c r="N21" s="214" t="s">
        <v>91</v>
      </c>
      <c r="O21" s="370">
        <v>0</v>
      </c>
      <c r="P21" s="201">
        <v>0.39</v>
      </c>
      <c r="Q21" s="209">
        <f>13800*1000/1000000</f>
        <v>13.8</v>
      </c>
      <c r="R21" s="210"/>
      <c r="S21" s="169">
        <f>279.6*1000/1000000</f>
        <v>0.27960000000000002</v>
      </c>
      <c r="T21" s="204"/>
      <c r="U21" s="204"/>
      <c r="V21" s="204">
        <v>0.01</v>
      </c>
      <c r="W21" s="204">
        <v>3.9</v>
      </c>
      <c r="X21" s="204"/>
      <c r="Y21" s="137"/>
      <c r="AB21" s="7"/>
      <c r="AC21" s="7"/>
    </row>
    <row r="22" spans="1:37" ht="14.25" x14ac:dyDescent="0.2">
      <c r="A22" s="231" t="s">
        <v>92</v>
      </c>
      <c r="B22" s="170">
        <v>11627.7</v>
      </c>
      <c r="C22" s="170">
        <v>13157.4</v>
      </c>
      <c r="D22" s="170">
        <v>16008.8</v>
      </c>
      <c r="E22" s="169">
        <v>19102.5</v>
      </c>
      <c r="F22" s="167">
        <v>24028.5</v>
      </c>
      <c r="G22" s="167">
        <v>25670.6</v>
      </c>
      <c r="H22" s="167">
        <v>31299.9</v>
      </c>
      <c r="I22" s="167">
        <v>29500.400000000001</v>
      </c>
      <c r="J22" s="167">
        <v>32067.1</v>
      </c>
      <c r="K22" s="167">
        <v>35052.699999999997</v>
      </c>
      <c r="L22" s="168">
        <v>34748.1</v>
      </c>
      <c r="N22" s="213" t="s">
        <v>93</v>
      </c>
      <c r="O22" s="371">
        <v>0</v>
      </c>
      <c r="P22" s="201">
        <v>10.029999999999999</v>
      </c>
      <c r="Q22" s="209">
        <f>10746.9*1000/1000000</f>
        <v>10.7469</v>
      </c>
      <c r="R22" s="210">
        <v>27.7</v>
      </c>
      <c r="S22" s="169">
        <f>14130.5*1000/1000000</f>
        <v>14.1305</v>
      </c>
      <c r="T22" s="204">
        <v>0.4</v>
      </c>
      <c r="U22" s="204">
        <v>0.1</v>
      </c>
      <c r="V22" s="204">
        <v>0.35</v>
      </c>
      <c r="W22" s="204">
        <v>22.4</v>
      </c>
      <c r="X22" s="204">
        <v>12.1</v>
      </c>
      <c r="Y22" s="137"/>
      <c r="AB22" s="7"/>
      <c r="AC22" s="7"/>
    </row>
    <row r="23" spans="1:37" ht="14.25" x14ac:dyDescent="0.2">
      <c r="A23" s="232" t="s">
        <v>94</v>
      </c>
      <c r="B23" s="166">
        <v>5592.9</v>
      </c>
      <c r="C23" s="166">
        <v>5438.9</v>
      </c>
      <c r="D23" s="166">
        <v>5955.8</v>
      </c>
      <c r="E23" s="168">
        <v>7093.1</v>
      </c>
      <c r="F23" s="168">
        <v>11135.8</v>
      </c>
      <c r="G23" s="166">
        <v>4354.2</v>
      </c>
      <c r="H23" s="166">
        <v>5154.6000000000004</v>
      </c>
      <c r="I23" s="166">
        <v>5328.8</v>
      </c>
      <c r="J23" s="166">
        <v>5340.4</v>
      </c>
      <c r="K23" s="166">
        <v>5114</v>
      </c>
      <c r="L23" s="168">
        <v>5245.1</v>
      </c>
      <c r="N23" s="213" t="s">
        <v>95</v>
      </c>
      <c r="O23" s="371">
        <v>0</v>
      </c>
      <c r="P23" s="201"/>
      <c r="Q23" s="209"/>
      <c r="R23" s="210"/>
      <c r="S23" s="204">
        <f>7600*1000/1000000</f>
        <v>7.6</v>
      </c>
      <c r="T23" s="204">
        <v>0.3</v>
      </c>
      <c r="U23" s="204"/>
      <c r="V23" s="204">
        <v>0.09</v>
      </c>
      <c r="W23" s="204">
        <v>18.5</v>
      </c>
      <c r="X23" s="204">
        <v>8.5</v>
      </c>
      <c r="Y23" s="137"/>
      <c r="AA23" s="6"/>
      <c r="AB23" s="7"/>
    </row>
    <row r="24" spans="1:37" ht="14.25" x14ac:dyDescent="0.2">
      <c r="A24" s="233" t="s">
        <v>96</v>
      </c>
      <c r="B24" s="166"/>
      <c r="C24" s="166"/>
      <c r="D24" s="166"/>
      <c r="E24" s="168"/>
      <c r="F24" s="169"/>
      <c r="G24" s="166">
        <v>2245.3000000000002</v>
      </c>
      <c r="H24" s="166"/>
      <c r="I24" s="166">
        <v>230.8</v>
      </c>
      <c r="J24" s="166">
        <v>241.2</v>
      </c>
      <c r="K24" s="166">
        <v>237.7</v>
      </c>
      <c r="L24" s="166">
        <v>398.9</v>
      </c>
      <c r="N24" s="199" t="s">
        <v>97</v>
      </c>
      <c r="O24" s="373">
        <v>0</v>
      </c>
      <c r="P24" s="203">
        <v>0</v>
      </c>
      <c r="Q24" s="209"/>
      <c r="R24" s="210">
        <v>0.01</v>
      </c>
      <c r="S24" s="204"/>
      <c r="T24" s="204"/>
      <c r="U24" s="204"/>
      <c r="V24" s="204">
        <v>0.03</v>
      </c>
      <c r="W24" s="204"/>
      <c r="X24" s="204">
        <v>0</v>
      </c>
      <c r="Y24" s="262"/>
    </row>
    <row r="25" spans="1:37" ht="28.5" x14ac:dyDescent="0.2">
      <c r="A25" s="234" t="s">
        <v>98</v>
      </c>
      <c r="B25" s="166"/>
      <c r="C25" s="166"/>
      <c r="D25" s="166"/>
      <c r="E25" s="168"/>
      <c r="F25" s="168"/>
      <c r="G25" s="166">
        <v>232.4</v>
      </c>
      <c r="H25" s="166">
        <v>229</v>
      </c>
      <c r="I25" s="166">
        <v>123.3</v>
      </c>
      <c r="J25" s="166">
        <v>114.2</v>
      </c>
      <c r="K25" s="166">
        <v>117.2</v>
      </c>
      <c r="L25" s="167">
        <v>230.9</v>
      </c>
      <c r="M25" s="7"/>
      <c r="N25" s="215" t="s">
        <v>99</v>
      </c>
      <c r="O25" s="374">
        <v>0</v>
      </c>
      <c r="P25" s="205"/>
      <c r="Q25" s="211"/>
      <c r="R25" s="206"/>
      <c r="S25" s="206"/>
      <c r="T25" s="206"/>
      <c r="U25" s="206"/>
      <c r="V25" s="206">
        <v>0.03</v>
      </c>
      <c r="W25" s="206">
        <v>1.8</v>
      </c>
      <c r="X25" s="206"/>
      <c r="Y25" s="137"/>
    </row>
    <row r="26" spans="1:37" ht="28.5" x14ac:dyDescent="0.2">
      <c r="A26" s="240" t="s">
        <v>2</v>
      </c>
      <c r="B26" s="241">
        <v>130.80000000000001</v>
      </c>
      <c r="C26" s="241">
        <v>523</v>
      </c>
      <c r="D26" s="241">
        <v>650.1</v>
      </c>
      <c r="E26" s="242">
        <v>1151.4000000000001</v>
      </c>
      <c r="F26" s="242">
        <v>4410.2</v>
      </c>
      <c r="G26" s="242">
        <v>109.8</v>
      </c>
      <c r="H26" s="242">
        <v>108</v>
      </c>
      <c r="I26" s="242"/>
      <c r="J26" s="242"/>
      <c r="K26" s="242"/>
      <c r="L26" s="242" t="s">
        <v>0</v>
      </c>
      <c r="N26" s="214" t="s">
        <v>100</v>
      </c>
      <c r="O26" s="375">
        <v>0</v>
      </c>
      <c r="P26" s="207"/>
      <c r="Q26" s="209"/>
      <c r="R26" s="208"/>
      <c r="S26" s="167"/>
      <c r="T26" s="167"/>
      <c r="U26" s="208">
        <v>0.2</v>
      </c>
      <c r="V26" s="208"/>
      <c r="W26" s="208"/>
      <c r="X26" s="208"/>
      <c r="Y26" s="137"/>
    </row>
    <row r="27" spans="1:37" ht="14.25" x14ac:dyDescent="0.2">
      <c r="B27" s="196"/>
      <c r="C27" s="197"/>
      <c r="D27" s="197"/>
      <c r="E27" s="198"/>
      <c r="F27" s="198"/>
      <c r="G27" s="196"/>
      <c r="H27" s="196"/>
      <c r="I27" s="196"/>
      <c r="J27" s="196"/>
      <c r="K27" s="196"/>
      <c r="L27" s="196"/>
      <c r="M27" s="7"/>
      <c r="N27" s="4" t="s">
        <v>114</v>
      </c>
      <c r="O27" s="376">
        <v>0</v>
      </c>
      <c r="P27" s="208">
        <v>11.8</v>
      </c>
      <c r="Q27" s="208">
        <v>214.18</v>
      </c>
      <c r="R27" s="208">
        <v>28.3</v>
      </c>
      <c r="S27" s="208">
        <v>55.8</v>
      </c>
      <c r="T27" s="208">
        <v>9.8000000000000007</v>
      </c>
      <c r="U27" s="208"/>
      <c r="V27" s="208"/>
      <c r="W27" s="208"/>
      <c r="X27" s="208"/>
      <c r="Y27" s="137"/>
      <c r="AD27" s="8"/>
      <c r="AE27" s="8"/>
      <c r="AF27" s="8"/>
      <c r="AG27" s="8"/>
      <c r="AH27" s="8"/>
      <c r="AI27" s="8"/>
      <c r="AJ27" s="8"/>
    </row>
    <row r="28" spans="1:37" ht="14.25" x14ac:dyDescent="0.2"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N28" s="213" t="s">
        <v>115</v>
      </c>
      <c r="O28" s="377">
        <v>0</v>
      </c>
      <c r="P28" s="166">
        <v>1.05</v>
      </c>
      <c r="Q28" s="209">
        <v>222.8</v>
      </c>
      <c r="R28" s="208">
        <v>2.7</v>
      </c>
      <c r="S28" s="208">
        <v>19.8</v>
      </c>
      <c r="T28" s="208">
        <v>13.2</v>
      </c>
      <c r="U28" s="208"/>
      <c r="V28" s="208"/>
      <c r="W28" s="208"/>
      <c r="X28" s="208"/>
      <c r="Y28" s="137"/>
      <c r="AD28" s="8"/>
      <c r="AE28" s="8"/>
      <c r="AF28" s="8"/>
      <c r="AG28" s="8"/>
      <c r="AH28" s="8"/>
      <c r="AI28" s="8"/>
      <c r="AJ28" s="8"/>
    </row>
    <row r="29" spans="1:37" ht="14.25" x14ac:dyDescent="0.2">
      <c r="A29" s="260"/>
      <c r="B29" s="213"/>
      <c r="C29" s="213"/>
      <c r="D29" s="4"/>
      <c r="E29" s="200"/>
      <c r="F29" s="166"/>
      <c r="G29" s="200"/>
      <c r="H29" s="200"/>
      <c r="I29" s="200"/>
      <c r="J29" s="200"/>
      <c r="K29" s="200"/>
      <c r="L29" s="200"/>
      <c r="M29" s="7"/>
      <c r="N29" s="213" t="s">
        <v>116</v>
      </c>
      <c r="O29" s="378">
        <v>0</v>
      </c>
      <c r="P29" s="167">
        <v>1.18</v>
      </c>
      <c r="Q29" s="209">
        <v>3.7</v>
      </c>
      <c r="R29" s="204">
        <v>4.4000000000000004</v>
      </c>
      <c r="S29" s="204">
        <v>25.8</v>
      </c>
      <c r="T29" s="204">
        <v>23.2</v>
      </c>
      <c r="U29" s="204"/>
      <c r="V29" s="169"/>
      <c r="W29" s="204"/>
      <c r="X29" s="204"/>
      <c r="Y29" s="137"/>
      <c r="AD29" s="8"/>
      <c r="AE29" s="8"/>
      <c r="AF29" s="8"/>
      <c r="AG29" s="8"/>
      <c r="AH29" s="8"/>
      <c r="AI29" s="8"/>
      <c r="AJ29" s="8"/>
    </row>
    <row r="30" spans="1:37" ht="14.25" x14ac:dyDescent="0.2">
      <c r="A30" s="65"/>
      <c r="B30" s="73"/>
      <c r="C30" s="73"/>
      <c r="D30" s="73"/>
      <c r="E30" s="74"/>
      <c r="F30" s="75"/>
      <c r="G30" s="73"/>
      <c r="H30" s="73"/>
      <c r="I30" s="73"/>
      <c r="J30" s="73"/>
      <c r="K30" s="73"/>
      <c r="L30" s="73"/>
      <c r="N30" s="4" t="s">
        <v>117</v>
      </c>
      <c r="O30" s="378">
        <v>0</v>
      </c>
      <c r="P30" s="167">
        <v>155.69999999999999</v>
      </c>
      <c r="Q30" s="209">
        <v>426</v>
      </c>
      <c r="R30" s="204">
        <v>380.5</v>
      </c>
      <c r="S30" s="204"/>
      <c r="T30" s="204">
        <v>376.3</v>
      </c>
      <c r="U30" s="204"/>
      <c r="V30" s="204"/>
      <c r="W30" s="204"/>
      <c r="X30" s="204"/>
      <c r="Y30" s="137"/>
      <c r="AD30" s="8"/>
      <c r="AE30" s="133"/>
      <c r="AF30" s="133"/>
      <c r="AG30" s="133"/>
      <c r="AH30" s="133"/>
      <c r="AI30" s="133"/>
      <c r="AJ30" s="65"/>
    </row>
    <row r="31" spans="1:37" ht="14.25" x14ac:dyDescent="0.2">
      <c r="A31" s="76"/>
      <c r="B31" s="73"/>
      <c r="C31" s="73"/>
      <c r="D31" s="73"/>
      <c r="E31" s="74"/>
      <c r="F31" s="75"/>
      <c r="G31" s="73"/>
      <c r="H31" s="73"/>
      <c r="I31" s="73"/>
      <c r="J31" s="73"/>
      <c r="K31" s="73"/>
      <c r="L31" s="73"/>
      <c r="M31" s="72"/>
      <c r="N31" s="4" t="s">
        <v>118</v>
      </c>
      <c r="O31" s="378">
        <v>0</v>
      </c>
      <c r="P31" s="167">
        <v>15.5</v>
      </c>
      <c r="Q31" s="209">
        <v>24.14</v>
      </c>
      <c r="R31" s="204">
        <v>58.8</v>
      </c>
      <c r="S31" s="169"/>
      <c r="T31" s="204">
        <v>10.1</v>
      </c>
      <c r="U31" s="204"/>
      <c r="V31" s="204"/>
      <c r="W31" s="204"/>
      <c r="X31" s="204"/>
      <c r="Y31" s="137"/>
      <c r="AD31" s="8"/>
      <c r="AE31" s="78"/>
      <c r="AF31" s="77"/>
      <c r="AG31" s="77"/>
      <c r="AH31" s="77"/>
      <c r="AI31" s="77"/>
      <c r="AJ31" s="79"/>
    </row>
    <row r="32" spans="1:37" ht="15" x14ac:dyDescent="0.2">
      <c r="A32" s="5"/>
      <c r="B32" s="80"/>
      <c r="C32" s="77"/>
      <c r="D32" s="77"/>
      <c r="E32" s="81"/>
      <c r="F32" s="82"/>
      <c r="G32" s="77"/>
      <c r="H32" s="77"/>
      <c r="I32" s="77"/>
      <c r="J32" s="77"/>
      <c r="K32" s="77"/>
      <c r="L32" s="77"/>
      <c r="N32" s="216" t="s">
        <v>101</v>
      </c>
      <c r="O32" s="379">
        <v>0</v>
      </c>
      <c r="P32" s="191">
        <f>D20</f>
        <v>69.7</v>
      </c>
      <c r="Q32" s="212"/>
      <c r="R32" s="194"/>
      <c r="S32" s="194"/>
      <c r="T32" s="194"/>
      <c r="U32" s="194">
        <v>69.599999999999994</v>
      </c>
      <c r="V32" s="194">
        <v>0.08</v>
      </c>
      <c r="W32" s="194">
        <v>76.400000000000006</v>
      </c>
      <c r="X32" s="194">
        <v>96.2</v>
      </c>
      <c r="Y32" s="262">
        <v>82.4</v>
      </c>
      <c r="Z32" s="217">
        <v>87.2</v>
      </c>
      <c r="AD32" s="8"/>
      <c r="AE32" s="78"/>
      <c r="AF32" s="77"/>
      <c r="AG32" s="77"/>
      <c r="AH32" s="77"/>
      <c r="AI32" s="77"/>
      <c r="AJ32" s="138"/>
      <c r="AK32" s="7"/>
    </row>
    <row r="33" spans="1:36" x14ac:dyDescent="0.2">
      <c r="A33" s="5"/>
      <c r="B33" s="8"/>
      <c r="C33" s="8"/>
      <c r="D33" s="8"/>
      <c r="E33" s="77"/>
      <c r="F33" s="82"/>
      <c r="G33" s="77"/>
      <c r="H33" s="77"/>
      <c r="I33" s="77"/>
      <c r="J33" s="77"/>
      <c r="K33" s="77"/>
      <c r="L33" s="77"/>
      <c r="N33" s="8"/>
      <c r="O33" s="135"/>
      <c r="P33" s="80"/>
      <c r="Q33" s="80"/>
      <c r="R33" s="67"/>
      <c r="S33" s="67"/>
      <c r="T33" s="67"/>
      <c r="U33" s="225"/>
      <c r="V33" s="225"/>
      <c r="W33" s="137"/>
      <c r="X33" s="137"/>
      <c r="AD33" s="8"/>
      <c r="AE33" s="8"/>
      <c r="AF33" s="8"/>
      <c r="AG33" s="8"/>
      <c r="AH33" s="8"/>
      <c r="AI33" s="8"/>
      <c r="AJ33" s="139"/>
    </row>
    <row r="34" spans="1:36" x14ac:dyDescent="0.2">
      <c r="A34" s="5"/>
      <c r="B34" s="8"/>
      <c r="C34" s="8"/>
      <c r="D34" s="8"/>
      <c r="E34" s="83"/>
      <c r="F34" s="82"/>
      <c r="G34" s="77"/>
      <c r="H34" s="77"/>
      <c r="I34" s="77"/>
      <c r="J34" s="77"/>
      <c r="K34" s="77"/>
      <c r="L34" s="77"/>
      <c r="R34" s="7"/>
      <c r="U34" s="77"/>
      <c r="V34" s="77"/>
      <c r="Z34" s="84"/>
      <c r="AD34" s="8"/>
      <c r="AE34" s="8"/>
      <c r="AF34" s="8"/>
      <c r="AG34" s="8"/>
      <c r="AH34" s="8"/>
      <c r="AI34" s="8"/>
      <c r="AJ34" s="8"/>
    </row>
    <row r="35" spans="1:36" x14ac:dyDescent="0.2">
      <c r="A35" s="5"/>
      <c r="B35" s="8"/>
      <c r="C35" s="79"/>
      <c r="D35" s="79"/>
      <c r="E35" s="81"/>
      <c r="F35" s="82"/>
      <c r="G35" s="77"/>
      <c r="H35" s="77"/>
      <c r="I35" s="77"/>
      <c r="J35" s="77"/>
      <c r="K35" s="77"/>
      <c r="L35" s="77"/>
      <c r="M35" s="7"/>
      <c r="N35" s="8"/>
      <c r="O35" s="8"/>
      <c r="P35" s="8"/>
      <c r="Q35" s="8"/>
      <c r="R35" s="7"/>
      <c r="U35" s="77"/>
      <c r="AB35" s="7"/>
      <c r="AD35" s="8"/>
      <c r="AE35" s="8"/>
      <c r="AF35" s="8"/>
      <c r="AG35" s="8"/>
      <c r="AH35" s="8"/>
      <c r="AI35" s="8"/>
      <c r="AJ35" s="8"/>
    </row>
    <row r="36" spans="1:36" x14ac:dyDescent="0.2">
      <c r="A36" s="5"/>
      <c r="B36" s="8"/>
      <c r="C36" s="79"/>
      <c r="D36" s="79"/>
      <c r="E36" s="81"/>
      <c r="F36" s="82"/>
      <c r="G36" s="77"/>
      <c r="H36" s="77"/>
      <c r="I36" s="77"/>
      <c r="J36" s="77"/>
      <c r="K36" s="77"/>
      <c r="L36" s="77"/>
      <c r="M36" s="7"/>
      <c r="N36" s="5"/>
      <c r="O36" s="85"/>
      <c r="P36" s="85"/>
      <c r="Q36" s="85"/>
      <c r="R36" s="77"/>
      <c r="S36" s="8"/>
      <c r="T36" s="8"/>
      <c r="Z36" s="6"/>
      <c r="AB36" s="7"/>
      <c r="AD36" s="8"/>
      <c r="AE36" s="8"/>
      <c r="AF36" s="8"/>
      <c r="AG36" s="8"/>
      <c r="AH36" s="8"/>
      <c r="AI36" s="8"/>
      <c r="AJ36" s="8"/>
    </row>
    <row r="37" spans="1:36" x14ac:dyDescent="0.2">
      <c r="A37" s="5"/>
      <c r="B37" s="8"/>
      <c r="C37" s="79"/>
      <c r="D37" s="79"/>
      <c r="E37" s="81"/>
      <c r="F37" s="82"/>
      <c r="G37" s="77"/>
      <c r="H37" s="77"/>
      <c r="I37" s="77"/>
      <c r="J37" s="77"/>
      <c r="K37" s="77"/>
      <c r="L37" s="77"/>
      <c r="N37" s="5"/>
      <c r="O37" s="77"/>
      <c r="P37" s="77"/>
      <c r="Q37" s="77"/>
      <c r="R37" s="86"/>
      <c r="S37" s="1"/>
      <c r="T37" s="1"/>
      <c r="Z37" s="6"/>
      <c r="AA37" s="7"/>
      <c r="AB37" s="7"/>
      <c r="AD37" s="8"/>
      <c r="AE37" s="8"/>
      <c r="AF37" s="8"/>
      <c r="AG37" s="8"/>
      <c r="AH37" s="8"/>
      <c r="AI37" s="8"/>
      <c r="AJ37" s="8"/>
    </row>
    <row r="38" spans="1:36" x14ac:dyDescent="0.2">
      <c r="A38" s="5"/>
      <c r="B38" s="8"/>
      <c r="C38" s="79"/>
      <c r="D38" s="79"/>
      <c r="E38" s="81"/>
      <c r="F38" s="82"/>
      <c r="G38" s="77"/>
      <c r="H38" s="77"/>
      <c r="I38" s="77"/>
      <c r="J38" s="77"/>
      <c r="K38" s="77"/>
      <c r="L38" s="77"/>
      <c r="O38" s="77"/>
      <c r="P38" s="77"/>
      <c r="Q38" s="77"/>
      <c r="R38" s="87"/>
      <c r="S38" s="87"/>
      <c r="T38" s="87"/>
      <c r="Z38" s="6"/>
      <c r="AB38" s="7"/>
      <c r="AD38" s="8"/>
      <c r="AE38" s="8"/>
      <c r="AF38" s="8"/>
      <c r="AG38" s="8"/>
      <c r="AH38" s="8"/>
      <c r="AI38" s="8"/>
      <c r="AJ38" s="8"/>
    </row>
    <row r="39" spans="1:36" x14ac:dyDescent="0.2">
      <c r="A39" s="68" t="s">
        <v>102</v>
      </c>
      <c r="C39" s="88"/>
      <c r="F39" s="7"/>
      <c r="G39" s="7"/>
      <c r="H39" s="7"/>
      <c r="I39" s="7"/>
      <c r="J39" s="7"/>
      <c r="K39" s="7"/>
      <c r="L39" s="7"/>
      <c r="R39" s="77"/>
      <c r="S39" s="77"/>
      <c r="T39" s="77"/>
      <c r="Z39" s="6"/>
      <c r="AB39" s="7"/>
      <c r="AD39" s="8"/>
      <c r="AE39" s="8"/>
      <c r="AF39" s="8"/>
      <c r="AG39" s="8"/>
      <c r="AH39" s="8"/>
      <c r="AI39" s="8"/>
      <c r="AJ39" s="8"/>
    </row>
    <row r="40" spans="1:36" x14ac:dyDescent="0.2">
      <c r="A40" s="68"/>
      <c r="E40" s="7"/>
      <c r="F40" s="7"/>
      <c r="G40" s="7"/>
      <c r="H40" s="7"/>
      <c r="I40" s="7"/>
      <c r="J40" s="7"/>
      <c r="K40" s="7"/>
      <c r="L40" s="7"/>
      <c r="Q40" s="7"/>
      <c r="Z40" s="6"/>
      <c r="AA40" s="7"/>
      <c r="AB40" s="7"/>
      <c r="AD40" s="8"/>
      <c r="AE40" s="8"/>
      <c r="AF40" s="8"/>
      <c r="AG40" s="8"/>
      <c r="AH40" s="8"/>
      <c r="AI40" s="8"/>
      <c r="AJ40" s="8"/>
    </row>
    <row r="41" spans="1:36" x14ac:dyDescent="0.2">
      <c r="A41" s="68"/>
      <c r="E41" s="7"/>
      <c r="G41" s="7"/>
      <c r="H41" s="7"/>
      <c r="I41" s="7"/>
      <c r="J41" s="7"/>
      <c r="K41" s="7"/>
      <c r="L41" s="7"/>
      <c r="Z41" s="6"/>
      <c r="AA41" s="7"/>
      <c r="AB41" s="7"/>
      <c r="AD41" s="8"/>
      <c r="AE41" s="8"/>
      <c r="AF41" s="8"/>
      <c r="AG41" s="8"/>
      <c r="AH41" s="8"/>
      <c r="AI41" s="8"/>
      <c r="AJ41" s="8"/>
    </row>
    <row r="42" spans="1:36" x14ac:dyDescent="0.2">
      <c r="A42" s="89"/>
      <c r="B42" s="90" t="s">
        <v>103</v>
      </c>
      <c r="C42" s="90"/>
      <c r="D42" s="90"/>
      <c r="E42" s="90"/>
      <c r="F42" s="90"/>
      <c r="Z42" s="6"/>
      <c r="AB42" s="7"/>
      <c r="AD42" s="8"/>
      <c r="AE42" s="77"/>
      <c r="AF42" s="8"/>
      <c r="AG42" s="8"/>
      <c r="AH42" s="8"/>
      <c r="AI42" s="8"/>
      <c r="AJ42" s="8"/>
    </row>
    <row r="43" spans="1:36" x14ac:dyDescent="0.2">
      <c r="A43" s="89"/>
      <c r="B43" s="90"/>
      <c r="C43" s="90"/>
      <c r="D43" s="90"/>
      <c r="E43" s="90"/>
      <c r="F43" s="2" t="s">
        <v>104</v>
      </c>
      <c r="Z43" s="6"/>
      <c r="AA43" s="7"/>
      <c r="AB43" s="7"/>
      <c r="AD43" s="8"/>
      <c r="AE43" s="77"/>
      <c r="AF43" s="8"/>
      <c r="AG43" s="8"/>
      <c r="AH43" s="8"/>
      <c r="AI43" s="8"/>
      <c r="AJ43" s="8"/>
    </row>
    <row r="44" spans="1:36" x14ac:dyDescent="0.2">
      <c r="A44" s="91"/>
      <c r="B44" s="92" t="s">
        <v>47</v>
      </c>
      <c r="C44" s="92" t="s">
        <v>48</v>
      </c>
      <c r="D44" s="93" t="s">
        <v>49</v>
      </c>
      <c r="E44" s="94" t="s">
        <v>50</v>
      </c>
      <c r="F44" s="95" t="s">
        <v>51</v>
      </c>
      <c r="Z44" s="6"/>
      <c r="AA44" s="7"/>
      <c r="AB44" s="7"/>
      <c r="AD44" s="8"/>
      <c r="AE44" s="8"/>
      <c r="AF44" s="8"/>
      <c r="AG44" s="8"/>
      <c r="AH44" s="8"/>
      <c r="AI44" s="8"/>
      <c r="AJ44" s="8"/>
    </row>
    <row r="45" spans="1:36" ht="15" x14ac:dyDescent="0.25">
      <c r="A45" s="96" t="s">
        <v>105</v>
      </c>
      <c r="B45" s="28">
        <v>9382.2999999999993</v>
      </c>
      <c r="C45" s="28">
        <v>10210.200000000001</v>
      </c>
      <c r="D45" s="97">
        <v>9700.4</v>
      </c>
      <c r="E45" s="98">
        <f>'[1]tusviin orlogo'!B75</f>
        <v>9593</v>
      </c>
      <c r="F45" s="98">
        <f>'[1]tusviin orlogo'!D75</f>
        <v>10248.650000000001</v>
      </c>
      <c r="G45" s="7">
        <f>+E45-D45</f>
        <v>-107.39999999999964</v>
      </c>
      <c r="H45" s="3">
        <f>+G45*100/D45</f>
        <v>-1.107170838315942</v>
      </c>
      <c r="U45" s="90"/>
      <c r="V45" s="90"/>
      <c r="W45" s="90"/>
      <c r="X45" s="90"/>
      <c r="Z45" s="6"/>
      <c r="AB45" s="7"/>
      <c r="AD45" s="8"/>
      <c r="AE45" s="8"/>
      <c r="AF45" s="8"/>
      <c r="AG45" s="8"/>
      <c r="AH45" s="8"/>
      <c r="AI45" s="8"/>
      <c r="AJ45" s="8"/>
    </row>
    <row r="46" spans="1:36" x14ac:dyDescent="0.2">
      <c r="A46" s="99" t="s">
        <v>106</v>
      </c>
      <c r="B46" s="100">
        <v>58081.599999999999</v>
      </c>
      <c r="C46" s="100">
        <v>49424.1</v>
      </c>
      <c r="D46" s="101">
        <v>62574.1</v>
      </c>
      <c r="E46" s="102">
        <f>B8</f>
        <v>24199.9</v>
      </c>
      <c r="F46" s="103">
        <f>D8</f>
        <v>29311.3</v>
      </c>
      <c r="G46" s="77">
        <f>+E46-D46</f>
        <v>-38374.199999999997</v>
      </c>
      <c r="H46" s="8">
        <f>+G46*100/D46</f>
        <v>-61.326011880314695</v>
      </c>
      <c r="I46" s="8"/>
      <c r="J46" s="8"/>
      <c r="K46" s="8"/>
      <c r="L46" s="8"/>
      <c r="Z46" s="6"/>
      <c r="AD46" s="8"/>
      <c r="AE46" s="8"/>
      <c r="AF46" s="8"/>
      <c r="AG46" s="8"/>
      <c r="AH46" s="8"/>
      <c r="AI46" s="8"/>
      <c r="AJ46" s="8"/>
    </row>
    <row r="47" spans="1:36" x14ac:dyDescent="0.2">
      <c r="A47" s="104" t="s">
        <v>107</v>
      </c>
      <c r="B47" s="105">
        <f>B45/B46*100</f>
        <v>16.153652791934107</v>
      </c>
      <c r="C47" s="105">
        <f>C45/C46*100</f>
        <v>20.658342792281502</v>
      </c>
      <c r="D47" s="106">
        <f>D45/D46*100</f>
        <v>15.502260519927574</v>
      </c>
      <c r="E47" s="107">
        <f>E45/E46*100</f>
        <v>39.640659672147407</v>
      </c>
      <c r="F47" s="108">
        <f>F45/F46*100</f>
        <v>34.964842910413395</v>
      </c>
      <c r="G47" s="77"/>
      <c r="H47" s="77"/>
      <c r="I47" s="77"/>
      <c r="J47" s="77"/>
      <c r="K47" s="77"/>
      <c r="L47" s="77"/>
      <c r="Z47" s="6"/>
      <c r="AA47" s="90"/>
      <c r="AB47" s="90"/>
      <c r="AC47" s="90"/>
    </row>
    <row r="48" spans="1:36" x14ac:dyDescent="0.2">
      <c r="A48" s="96"/>
      <c r="B48" s="109"/>
      <c r="C48" s="110"/>
      <c r="D48" s="111"/>
      <c r="E48" s="112"/>
      <c r="F48" s="112"/>
      <c r="G48" s="8"/>
      <c r="H48" s="8"/>
      <c r="I48" s="8"/>
      <c r="J48" s="8"/>
      <c r="K48" s="8"/>
      <c r="L48" s="8"/>
      <c r="N48" s="90"/>
      <c r="O48" s="90"/>
      <c r="P48" s="90"/>
      <c r="Q48" s="90"/>
      <c r="AC48" s="7"/>
    </row>
    <row r="49" spans="1:39" s="90" customFormat="1" x14ac:dyDescent="0.2">
      <c r="A49" s="99"/>
      <c r="B49" s="113"/>
      <c r="C49" s="114"/>
      <c r="D49" s="115"/>
      <c r="E49" s="116"/>
      <c r="F49" s="110"/>
      <c r="G49" s="79"/>
      <c r="H49" s="79"/>
      <c r="I49" s="79"/>
      <c r="J49" s="79"/>
      <c r="K49" s="79"/>
      <c r="L49" s="79"/>
      <c r="N49" s="3"/>
      <c r="O49" s="3"/>
      <c r="P49" s="3"/>
      <c r="Q49" s="3"/>
      <c r="U49" s="3"/>
      <c r="V49" s="3"/>
      <c r="W49" s="3"/>
      <c r="X49" s="3"/>
      <c r="AA49" s="3"/>
      <c r="AB49" s="3"/>
      <c r="AC49" s="7"/>
      <c r="AF49" s="117"/>
    </row>
    <row r="50" spans="1:39" x14ac:dyDescent="0.2">
      <c r="A50" s="62" t="s">
        <v>108</v>
      </c>
      <c r="B50" s="66"/>
      <c r="C50" s="7"/>
      <c r="D50" s="7"/>
      <c r="E50" s="66"/>
    </row>
    <row r="51" spans="1:39" ht="39.75" customHeight="1" x14ac:dyDescent="0.2">
      <c r="B51" s="7"/>
      <c r="C51" s="7"/>
      <c r="D51" s="7"/>
      <c r="E51" s="7"/>
      <c r="H51" s="7">
        <f>B45+C45+D45+E45</f>
        <v>38885.9</v>
      </c>
      <c r="I51" s="7"/>
      <c r="J51" s="7"/>
      <c r="K51" s="7"/>
      <c r="L51" s="7"/>
      <c r="AC51" s="7"/>
    </row>
    <row r="52" spans="1:39" x14ac:dyDescent="0.2">
      <c r="A52" s="118" t="s">
        <v>3</v>
      </c>
      <c r="B52" s="119">
        <f>B47</f>
        <v>16.153652791934107</v>
      </c>
      <c r="C52" s="7"/>
      <c r="D52" s="7"/>
      <c r="E52" s="7"/>
      <c r="H52" s="7">
        <f>B46+C46+D46+E46</f>
        <v>194279.69999999998</v>
      </c>
      <c r="I52" s="7"/>
      <c r="J52" s="7"/>
      <c r="K52" s="7"/>
      <c r="L52" s="7"/>
      <c r="AC52" s="7"/>
      <c r="AM52" s="6"/>
    </row>
    <row r="53" spans="1:39" x14ac:dyDescent="0.2">
      <c r="A53" s="120" t="s">
        <v>4</v>
      </c>
      <c r="B53" s="121">
        <f>C47</f>
        <v>20.658342792281502</v>
      </c>
      <c r="C53" s="7"/>
      <c r="D53" s="7"/>
      <c r="E53" s="7"/>
      <c r="AM53" s="6"/>
    </row>
    <row r="54" spans="1:39" x14ac:dyDescent="0.2">
      <c r="A54" s="120" t="s">
        <v>5</v>
      </c>
      <c r="B54" s="121">
        <f>D47</f>
        <v>15.502260519927574</v>
      </c>
      <c r="C54" s="7"/>
      <c r="D54" s="7"/>
      <c r="E54" s="7"/>
      <c r="AM54" s="6"/>
    </row>
    <row r="55" spans="1:39" x14ac:dyDescent="0.2">
      <c r="A55" s="120" t="s">
        <v>6</v>
      </c>
      <c r="B55" s="121">
        <f>E47</f>
        <v>39.640659672147407</v>
      </c>
      <c r="C55" s="7"/>
      <c r="D55" s="7"/>
      <c r="E55" s="7"/>
      <c r="F55" s="3" t="s">
        <v>109</v>
      </c>
      <c r="AM55" s="6"/>
    </row>
    <row r="56" spans="1:39" x14ac:dyDescent="0.2">
      <c r="A56" s="122" t="s">
        <v>7</v>
      </c>
      <c r="B56" s="123">
        <f>F47</f>
        <v>34.964842910413395</v>
      </c>
      <c r="C56" s="7"/>
      <c r="D56" s="7"/>
      <c r="E56" s="7"/>
      <c r="AM56" s="6"/>
    </row>
    <row r="57" spans="1:39" x14ac:dyDescent="0.2">
      <c r="B57" s="7"/>
      <c r="C57" s="7"/>
      <c r="D57" s="7"/>
      <c r="E57" s="7"/>
      <c r="AM57" s="6"/>
    </row>
    <row r="58" spans="1:39" x14ac:dyDescent="0.2">
      <c r="A58" s="124"/>
      <c r="B58" s="125"/>
      <c r="C58" s="125" t="s">
        <v>3</v>
      </c>
      <c r="D58" s="125" t="s">
        <v>4</v>
      </c>
      <c r="E58" s="125" t="s">
        <v>5</v>
      </c>
      <c r="F58" s="125" t="s">
        <v>6</v>
      </c>
      <c r="G58" s="125" t="s">
        <v>7</v>
      </c>
      <c r="AM58" s="6"/>
    </row>
    <row r="59" spans="1:39" x14ac:dyDescent="0.2">
      <c r="A59" s="62" t="s">
        <v>110</v>
      </c>
      <c r="B59" s="67"/>
      <c r="C59" s="67">
        <v>101.6</v>
      </c>
      <c r="D59" s="67">
        <v>46.3</v>
      </c>
      <c r="E59" s="67">
        <v>109</v>
      </c>
      <c r="F59" s="2">
        <f>B19</f>
        <v>1494.6</v>
      </c>
      <c r="G59" s="70">
        <f>D19</f>
        <v>38.9</v>
      </c>
      <c r="H59" s="7">
        <f>+G59-F59</f>
        <v>-1455.6999999999998</v>
      </c>
      <c r="I59" s="7"/>
      <c r="J59" s="7"/>
      <c r="K59" s="7"/>
      <c r="L59" s="7"/>
      <c r="M59" s="7"/>
      <c r="AM59" s="6"/>
    </row>
    <row r="60" spans="1:39" x14ac:dyDescent="0.2">
      <c r="B60" s="125"/>
      <c r="C60" s="125" t="s">
        <v>3</v>
      </c>
      <c r="D60" s="125" t="s">
        <v>4</v>
      </c>
      <c r="E60" s="125" t="s">
        <v>5</v>
      </c>
      <c r="F60" s="125" t="s">
        <v>6</v>
      </c>
      <c r="G60" s="125" t="s">
        <v>7</v>
      </c>
      <c r="AM60" s="6"/>
    </row>
    <row r="61" spans="1:39" x14ac:dyDescent="0.2">
      <c r="A61" s="62" t="s">
        <v>101</v>
      </c>
      <c r="B61" s="7"/>
      <c r="C61" s="7">
        <v>90.5</v>
      </c>
      <c r="D61" s="7">
        <v>75.8</v>
      </c>
      <c r="E61" s="7">
        <v>69.599999999999994</v>
      </c>
      <c r="F61" s="2">
        <f>B20</f>
        <v>2.5</v>
      </c>
      <c r="G61" s="2">
        <f>D20</f>
        <v>69.7</v>
      </c>
      <c r="AM61" s="6"/>
    </row>
    <row r="63" spans="1:39" x14ac:dyDescent="0.2">
      <c r="V63" s="3" t="s">
        <v>1</v>
      </c>
    </row>
    <row r="82" spans="1:12" x14ac:dyDescent="0.2">
      <c r="A82" s="125"/>
      <c r="B82" s="126" t="s">
        <v>3</v>
      </c>
      <c r="C82" s="126" t="s">
        <v>4</v>
      </c>
      <c r="D82" s="126" t="s">
        <v>5</v>
      </c>
      <c r="E82" s="126" t="s">
        <v>6</v>
      </c>
      <c r="F82" s="126" t="s">
        <v>7</v>
      </c>
    </row>
    <row r="83" spans="1:12" x14ac:dyDescent="0.2">
      <c r="A83" s="127" t="s">
        <v>106</v>
      </c>
      <c r="B83" s="128">
        <v>58081.599999999999</v>
      </c>
      <c r="C83" s="128">
        <v>49424.1</v>
      </c>
      <c r="D83" s="128">
        <v>62574.1</v>
      </c>
      <c r="E83" s="129">
        <f>B8</f>
        <v>24199.9</v>
      </c>
      <c r="F83" s="129">
        <f>D8</f>
        <v>29311.3</v>
      </c>
    </row>
    <row r="86" spans="1:12" x14ac:dyDescent="0.2">
      <c r="A86" s="130"/>
      <c r="B86" s="131"/>
      <c r="C86" s="131"/>
      <c r="D86" s="131"/>
      <c r="E86" s="81"/>
      <c r="F86" s="8"/>
      <c r="G86" s="8"/>
      <c r="H86" s="8"/>
      <c r="I86" s="8"/>
      <c r="J86" s="8"/>
      <c r="K86" s="8"/>
      <c r="L86" s="8"/>
    </row>
    <row r="87" spans="1:12" x14ac:dyDescent="0.2">
      <c r="A87" s="130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x14ac:dyDescent="0.2">
      <c r="A88" s="130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x14ac:dyDescent="0.2">
      <c r="A89" s="317"/>
      <c r="B89" s="318"/>
      <c r="C89" s="316"/>
      <c r="D89" s="316"/>
      <c r="E89" s="316"/>
      <c r="F89" s="317"/>
      <c r="G89" s="316"/>
      <c r="H89" s="316"/>
      <c r="I89" s="147"/>
      <c r="J89" s="147"/>
      <c r="K89" s="147"/>
      <c r="L89" s="257"/>
    </row>
    <row r="90" spans="1:12" x14ac:dyDescent="0.2">
      <c r="A90" s="317"/>
      <c r="B90" s="318"/>
      <c r="C90" s="319"/>
      <c r="D90" s="319"/>
      <c r="E90" s="320"/>
      <c r="F90" s="317"/>
      <c r="G90" s="316"/>
      <c r="H90" s="316"/>
      <c r="I90" s="147"/>
      <c r="J90" s="147"/>
      <c r="K90" s="147"/>
      <c r="L90" s="257"/>
    </row>
    <row r="91" spans="1:12" x14ac:dyDescent="0.2">
      <c r="A91" s="317"/>
      <c r="B91" s="318"/>
      <c r="C91" s="319"/>
      <c r="D91" s="319"/>
      <c r="E91" s="320"/>
      <c r="F91" s="317"/>
      <c r="G91" s="132"/>
      <c r="H91" s="133"/>
      <c r="I91" s="133"/>
      <c r="J91" s="133"/>
      <c r="K91" s="133"/>
      <c r="L91" s="133"/>
    </row>
    <row r="92" spans="1:12" x14ac:dyDescent="0.2">
      <c r="A92" s="134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1:12" x14ac:dyDescent="0.2">
      <c r="A93" s="130"/>
      <c r="B93" s="77"/>
      <c r="C93" s="77"/>
      <c r="D93" s="77"/>
      <c r="E93" s="81"/>
      <c r="F93" s="77"/>
      <c r="G93" s="77"/>
      <c r="H93" s="77"/>
      <c r="I93" s="77"/>
      <c r="J93" s="77"/>
      <c r="K93" s="77"/>
      <c r="L93" s="77"/>
    </row>
    <row r="94" spans="1:12" x14ac:dyDescent="0.2">
      <c r="A94" s="130"/>
      <c r="B94" s="77"/>
      <c r="C94" s="77"/>
      <c r="D94" s="77"/>
      <c r="E94" s="81"/>
      <c r="F94" s="77"/>
      <c r="G94" s="77"/>
      <c r="H94" s="77"/>
      <c r="I94" s="77"/>
      <c r="J94" s="77"/>
      <c r="K94" s="77"/>
      <c r="L94" s="77"/>
    </row>
    <row r="95" spans="1:12" x14ac:dyDescent="0.2">
      <c r="A95" s="130"/>
      <c r="B95" s="77"/>
      <c r="C95" s="77"/>
      <c r="D95" s="77"/>
      <c r="E95" s="81"/>
      <c r="F95" s="77"/>
      <c r="G95" s="77"/>
      <c r="H95" s="77"/>
      <c r="I95" s="77"/>
      <c r="J95" s="77"/>
      <c r="K95" s="77"/>
      <c r="L95" s="77"/>
    </row>
    <row r="96" spans="1:12" x14ac:dyDescent="0.2">
      <c r="A96" s="130"/>
      <c r="B96" s="77"/>
      <c r="C96" s="77"/>
      <c r="D96" s="77"/>
      <c r="E96" s="81"/>
      <c r="F96" s="77"/>
      <c r="G96" s="77"/>
      <c r="H96" s="77"/>
      <c r="I96" s="77"/>
      <c r="J96" s="77"/>
      <c r="K96" s="77"/>
      <c r="L96" s="77"/>
    </row>
    <row r="97" spans="1:12" x14ac:dyDescent="0.2">
      <c r="A97" s="130"/>
      <c r="B97" s="80"/>
      <c r="C97" s="80"/>
      <c r="D97" s="80"/>
      <c r="E97" s="81"/>
      <c r="F97" s="77"/>
      <c r="G97" s="77"/>
      <c r="H97" s="77"/>
      <c r="I97" s="77"/>
      <c r="J97" s="77"/>
      <c r="K97" s="77"/>
      <c r="L97" s="77"/>
    </row>
    <row r="98" spans="1:12" x14ac:dyDescent="0.2">
      <c r="A98" s="130"/>
      <c r="B98" s="135"/>
      <c r="C98" s="135"/>
      <c r="D98" s="135"/>
      <c r="E98" s="81"/>
      <c r="F98" s="82"/>
      <c r="G98" s="77"/>
      <c r="H98" s="77"/>
      <c r="I98" s="77"/>
      <c r="J98" s="77"/>
      <c r="K98" s="77"/>
      <c r="L98" s="77"/>
    </row>
    <row r="99" spans="1:12" x14ac:dyDescent="0.2">
      <c r="A99" s="130"/>
      <c r="B99" s="80"/>
      <c r="C99" s="135"/>
      <c r="D99" s="80"/>
      <c r="E99" s="81"/>
      <c r="F99" s="82"/>
      <c r="G99" s="77"/>
      <c r="H99" s="77"/>
      <c r="I99" s="77"/>
      <c r="J99" s="77"/>
      <c r="K99" s="77"/>
      <c r="L99" s="77"/>
    </row>
    <row r="100" spans="1:12" x14ac:dyDescent="0.2">
      <c r="A100" s="130"/>
      <c r="B100" s="80"/>
      <c r="C100" s="135"/>
      <c r="D100" s="80"/>
      <c r="E100" s="81"/>
      <c r="F100" s="82"/>
      <c r="G100" s="77"/>
      <c r="H100" s="77"/>
      <c r="I100" s="77"/>
      <c r="J100" s="77"/>
      <c r="K100" s="77"/>
      <c r="L100" s="77"/>
    </row>
    <row r="101" spans="1:12" x14ac:dyDescent="0.2">
      <c r="A101" s="130"/>
      <c r="B101" s="135"/>
      <c r="C101" s="135"/>
      <c r="D101" s="135"/>
      <c r="E101" s="81"/>
      <c r="F101" s="82"/>
      <c r="G101" s="77"/>
      <c r="H101" s="77"/>
      <c r="I101" s="77"/>
      <c r="J101" s="77"/>
      <c r="K101" s="77"/>
      <c r="L101" s="77"/>
    </row>
    <row r="102" spans="1:12" x14ac:dyDescent="0.2">
      <c r="A102" s="134"/>
      <c r="B102" s="8"/>
      <c r="C102" s="77"/>
      <c r="D102" s="77"/>
      <c r="E102" s="81"/>
      <c r="F102" s="8"/>
      <c r="G102" s="8"/>
      <c r="H102" s="8"/>
      <c r="I102" s="8"/>
      <c r="J102" s="8"/>
      <c r="K102" s="8"/>
      <c r="L102" s="8"/>
    </row>
    <row r="103" spans="1:12" x14ac:dyDescent="0.2">
      <c r="A103" s="130"/>
      <c r="B103" s="77"/>
      <c r="C103" s="77"/>
      <c r="D103" s="8"/>
      <c r="E103" s="81"/>
      <c r="F103" s="82"/>
      <c r="G103" s="77"/>
      <c r="H103" s="77"/>
      <c r="I103" s="77"/>
      <c r="J103" s="77"/>
      <c r="K103" s="77"/>
      <c r="L103" s="77"/>
    </row>
    <row r="104" spans="1:12" x14ac:dyDescent="0.2">
      <c r="A104" s="130"/>
      <c r="B104" s="77"/>
      <c r="C104" s="77"/>
      <c r="D104" s="77"/>
      <c r="E104" s="81"/>
      <c r="F104" s="82"/>
      <c r="G104" s="77"/>
      <c r="H104" s="77"/>
      <c r="I104" s="77"/>
      <c r="J104" s="77"/>
      <c r="K104" s="77"/>
      <c r="L104" s="77"/>
    </row>
    <row r="105" spans="1:12" x14ac:dyDescent="0.2">
      <c r="A105" s="130"/>
      <c r="B105" s="77"/>
      <c r="C105" s="8"/>
      <c r="D105" s="77"/>
      <c r="E105" s="81"/>
      <c r="F105" s="82"/>
      <c r="G105" s="77"/>
      <c r="H105" s="77"/>
      <c r="I105" s="77"/>
      <c r="J105" s="77"/>
      <c r="K105" s="77"/>
      <c r="L105" s="77"/>
    </row>
    <row r="106" spans="1:12" x14ac:dyDescent="0.2">
      <c r="A106" s="130"/>
      <c r="B106" s="77"/>
      <c r="C106" s="77"/>
      <c r="D106" s="8"/>
      <c r="E106" s="81"/>
      <c r="F106" s="82"/>
      <c r="G106" s="77"/>
      <c r="H106" s="77"/>
      <c r="I106" s="77"/>
      <c r="J106" s="77"/>
      <c r="K106" s="77"/>
      <c r="L106" s="77"/>
    </row>
    <row r="107" spans="1:12" x14ac:dyDescent="0.2">
      <c r="A107" s="130"/>
      <c r="B107" s="77"/>
      <c r="C107" s="77"/>
      <c r="D107" s="77"/>
      <c r="E107" s="81"/>
      <c r="F107" s="82"/>
      <c r="G107" s="77"/>
      <c r="H107" s="77"/>
      <c r="I107" s="77"/>
      <c r="J107" s="77"/>
      <c r="K107" s="77"/>
      <c r="L107" s="77"/>
    </row>
    <row r="108" spans="1:12" x14ac:dyDescent="0.2">
      <c r="A108" s="130"/>
      <c r="B108" s="8"/>
      <c r="C108" s="8"/>
      <c r="D108" s="8"/>
      <c r="E108" s="81"/>
      <c r="F108" s="82"/>
      <c r="G108" s="77"/>
      <c r="H108" s="77"/>
      <c r="I108" s="77"/>
      <c r="J108" s="77"/>
      <c r="K108" s="77"/>
      <c r="L108" s="77"/>
    </row>
    <row r="109" spans="1:12" x14ac:dyDescent="0.2">
      <c r="A109" s="136"/>
      <c r="B109" s="77"/>
      <c r="C109" s="77"/>
      <c r="D109" s="77"/>
      <c r="E109" s="81"/>
      <c r="F109" s="82"/>
      <c r="G109" s="77"/>
      <c r="H109" s="77"/>
      <c r="I109" s="77"/>
      <c r="J109" s="77"/>
      <c r="K109" s="77"/>
      <c r="L109" s="77"/>
    </row>
    <row r="110" spans="1:12" x14ac:dyDescent="0.2">
      <c r="A110" s="136"/>
      <c r="B110" s="77"/>
      <c r="C110" s="77"/>
      <c r="D110" s="77"/>
      <c r="E110" s="81"/>
      <c r="F110" s="82"/>
      <c r="G110" s="77"/>
      <c r="H110" s="77"/>
      <c r="I110" s="77"/>
      <c r="J110" s="77"/>
      <c r="K110" s="77"/>
      <c r="L110" s="77"/>
    </row>
    <row r="111" spans="1:12" x14ac:dyDescent="0.2">
      <c r="A111" s="136"/>
      <c r="B111" s="80"/>
      <c r="C111" s="77"/>
      <c r="D111" s="77"/>
      <c r="E111" s="81"/>
      <c r="F111" s="82"/>
      <c r="G111" s="77"/>
      <c r="H111" s="77"/>
      <c r="I111" s="77"/>
      <c r="J111" s="77"/>
      <c r="K111" s="77"/>
      <c r="L111" s="77"/>
    </row>
    <row r="112" spans="1:12" x14ac:dyDescent="0.2">
      <c r="A112" s="136"/>
      <c r="B112" s="8"/>
      <c r="C112" s="8"/>
      <c r="D112" s="8"/>
      <c r="E112" s="77"/>
      <c r="F112" s="82"/>
      <c r="G112" s="77"/>
      <c r="H112" s="77"/>
      <c r="I112" s="77"/>
      <c r="J112" s="77"/>
      <c r="K112" s="77"/>
      <c r="L112" s="77"/>
    </row>
    <row r="113" spans="1:12" x14ac:dyDescent="0.2">
      <c r="A113" s="136"/>
      <c r="B113" s="8"/>
      <c r="C113" s="8"/>
      <c r="D113" s="8"/>
      <c r="E113" s="77"/>
      <c r="F113" s="82"/>
      <c r="G113" s="77"/>
      <c r="H113" s="77"/>
      <c r="I113" s="77"/>
      <c r="J113" s="77"/>
      <c r="K113" s="77"/>
      <c r="L113" s="77"/>
    </row>
    <row r="114" spans="1:12" x14ac:dyDescent="0.2">
      <c r="A114" s="136"/>
      <c r="B114" s="8"/>
      <c r="C114" s="8"/>
      <c r="D114" s="8"/>
      <c r="E114" s="77"/>
      <c r="F114" s="82"/>
      <c r="G114" s="77"/>
      <c r="H114" s="77"/>
      <c r="I114" s="77"/>
      <c r="J114" s="77"/>
      <c r="K114" s="77"/>
      <c r="L114" s="77"/>
    </row>
    <row r="115" spans="1:12" x14ac:dyDescent="0.2">
      <c r="A115" s="136"/>
      <c r="B115" s="8"/>
      <c r="C115" s="8"/>
      <c r="D115" s="8"/>
      <c r="E115" s="77"/>
      <c r="F115" s="82"/>
      <c r="G115" s="77"/>
      <c r="H115" s="77"/>
      <c r="I115" s="77"/>
      <c r="J115" s="77"/>
      <c r="K115" s="77"/>
      <c r="L115" s="77"/>
    </row>
    <row r="116" spans="1:12" x14ac:dyDescent="0.2">
      <c r="A116" s="136"/>
      <c r="B116" s="8"/>
      <c r="C116" s="8"/>
      <c r="D116" s="8"/>
      <c r="E116" s="77"/>
      <c r="F116" s="82"/>
      <c r="G116" s="77"/>
      <c r="H116" s="77"/>
      <c r="I116" s="77"/>
      <c r="J116" s="77"/>
      <c r="K116" s="77"/>
      <c r="L116" s="77"/>
    </row>
    <row r="117" spans="1:12" x14ac:dyDescent="0.2">
      <c r="A117" s="136"/>
      <c r="B117" s="8"/>
      <c r="C117" s="8"/>
      <c r="D117" s="8"/>
      <c r="E117" s="77"/>
      <c r="F117" s="82"/>
      <c r="G117" s="77"/>
      <c r="H117" s="77"/>
      <c r="I117" s="77"/>
      <c r="J117" s="77"/>
      <c r="K117" s="77"/>
      <c r="L117" s="77"/>
    </row>
    <row r="118" spans="1:12" x14ac:dyDescent="0.2">
      <c r="A118" s="130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</sheetData>
  <mergeCells count="34">
    <mergeCell ref="Z5:Z6"/>
    <mergeCell ref="W5:W6"/>
    <mergeCell ref="X5:X6"/>
    <mergeCell ref="I5:I7"/>
    <mergeCell ref="J5:J7"/>
    <mergeCell ref="K5:K7"/>
    <mergeCell ref="R5:R6"/>
    <mergeCell ref="S5:S6"/>
    <mergeCell ref="T5:T6"/>
    <mergeCell ref="U5:U6"/>
    <mergeCell ref="V5:V6"/>
    <mergeCell ref="L5:L7"/>
    <mergeCell ref="A5:A7"/>
    <mergeCell ref="B5:B7"/>
    <mergeCell ref="F5:F7"/>
    <mergeCell ref="C5:C7"/>
    <mergeCell ref="D5:D7"/>
    <mergeCell ref="E5:E7"/>
    <mergeCell ref="Y5:Y6"/>
    <mergeCell ref="G90:H90"/>
    <mergeCell ref="A89:A91"/>
    <mergeCell ref="B89:B91"/>
    <mergeCell ref="C89:E89"/>
    <mergeCell ref="F89:F91"/>
    <mergeCell ref="G89:H89"/>
    <mergeCell ref="C90:C91"/>
    <mergeCell ref="D90:D91"/>
    <mergeCell ref="E90:E91"/>
    <mergeCell ref="G5:G7"/>
    <mergeCell ref="H5:H7"/>
    <mergeCell ref="Q5:Q6"/>
    <mergeCell ref="N5:N6"/>
    <mergeCell ref="O5:O6"/>
    <mergeCell ref="P5:P6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E19" sqref="E19"/>
    </sheetView>
  </sheetViews>
  <sheetFormatPr defaultRowHeight="15" x14ac:dyDescent="0.25"/>
  <cols>
    <col min="1" max="1" width="24.28515625" customWidth="1"/>
    <col min="2" max="5" width="15.85546875" customWidth="1"/>
  </cols>
  <sheetData>
    <row r="2" spans="1:5" x14ac:dyDescent="0.25">
      <c r="A2" s="227" t="s">
        <v>1</v>
      </c>
      <c r="B2" s="227"/>
      <c r="C2" s="196"/>
      <c r="D2" s="196"/>
      <c r="E2" s="196"/>
    </row>
    <row r="3" spans="1:5" x14ac:dyDescent="0.25">
      <c r="A3" s="227" t="s">
        <v>121</v>
      </c>
      <c r="B3" s="227"/>
      <c r="C3" s="380"/>
      <c r="D3" s="380"/>
      <c r="E3" s="196"/>
    </row>
    <row r="4" spans="1:5" x14ac:dyDescent="0.25">
      <c r="A4" s="227"/>
      <c r="B4" s="227"/>
      <c r="C4" s="196"/>
      <c r="D4" s="196"/>
      <c r="E4" s="196"/>
    </row>
    <row r="5" spans="1:5" x14ac:dyDescent="0.25">
      <c r="A5" s="381" t="s">
        <v>122</v>
      </c>
      <c r="B5" s="382">
        <v>2016</v>
      </c>
      <c r="C5" s="382">
        <v>2017</v>
      </c>
      <c r="D5" s="382">
        <v>2018</v>
      </c>
      <c r="E5" s="383">
        <v>2019</v>
      </c>
    </row>
    <row r="6" spans="1:5" x14ac:dyDescent="0.25">
      <c r="A6" s="381"/>
      <c r="B6" s="384"/>
      <c r="C6" s="384"/>
      <c r="D6" s="384"/>
      <c r="E6" s="385"/>
    </row>
    <row r="7" spans="1:5" x14ac:dyDescent="0.25">
      <c r="A7" s="386"/>
      <c r="B7" s="387" t="s">
        <v>123</v>
      </c>
      <c r="C7" s="387"/>
      <c r="D7" s="388"/>
      <c r="E7" s="383"/>
    </row>
    <row r="8" spans="1:5" ht="19.5" customHeight="1" x14ac:dyDescent="0.25">
      <c r="A8" s="389" t="s">
        <v>66</v>
      </c>
      <c r="B8" s="390">
        <f>SUM(B9:B14)</f>
        <v>61394</v>
      </c>
      <c r="C8" s="391">
        <f>SUM(C9:C14)</f>
        <v>63362.400000000001</v>
      </c>
      <c r="D8" s="392">
        <f>SUM(D9:D14)</f>
        <v>69608.850000000006</v>
      </c>
      <c r="E8" s="393">
        <f>SUM(E9:E14)</f>
        <v>79796.36</v>
      </c>
    </row>
    <row r="9" spans="1:5" ht="19.5" customHeight="1" x14ac:dyDescent="0.25">
      <c r="A9" s="394" t="s">
        <v>65</v>
      </c>
      <c r="B9" s="395">
        <v>29694.6</v>
      </c>
      <c r="C9" s="395">
        <v>30016.799999999999</v>
      </c>
      <c r="D9" s="395">
        <v>31132.22</v>
      </c>
      <c r="E9" s="396">
        <v>38389.379999999997</v>
      </c>
    </row>
    <row r="10" spans="1:5" ht="19.5" customHeight="1" x14ac:dyDescent="0.25">
      <c r="A10" s="394" t="s">
        <v>68</v>
      </c>
      <c r="B10" s="395">
        <v>3285.2</v>
      </c>
      <c r="C10" s="395">
        <v>3318</v>
      </c>
      <c r="D10" s="395">
        <v>3746.73</v>
      </c>
      <c r="E10" s="396">
        <v>4780.2700000000004</v>
      </c>
    </row>
    <row r="11" spans="1:5" ht="19.5" customHeight="1" x14ac:dyDescent="0.25">
      <c r="A11" s="394" t="s">
        <v>69</v>
      </c>
      <c r="B11" s="395">
        <v>12590.9</v>
      </c>
      <c r="C11" s="395">
        <v>13470.8</v>
      </c>
      <c r="D11" s="395">
        <v>14481.6</v>
      </c>
      <c r="E11" s="396">
        <v>18383.3</v>
      </c>
    </row>
    <row r="12" spans="1:5" ht="19.5" customHeight="1" x14ac:dyDescent="0.25">
      <c r="A12" s="394" t="s">
        <v>71</v>
      </c>
      <c r="B12" s="397">
        <v>3443.1</v>
      </c>
      <c r="C12" s="395">
        <v>6248.6</v>
      </c>
      <c r="D12" s="395">
        <v>3428.3</v>
      </c>
      <c r="E12" s="396">
        <v>2280.9699999999998</v>
      </c>
    </row>
    <row r="13" spans="1:5" ht="19.5" customHeight="1" x14ac:dyDescent="0.25">
      <c r="A13" s="394" t="s">
        <v>75</v>
      </c>
      <c r="B13" s="395">
        <v>4332.8999999999996</v>
      </c>
      <c r="C13" s="395">
        <v>2010.6</v>
      </c>
      <c r="D13" s="395">
        <v>6619</v>
      </c>
      <c r="E13" s="396">
        <v>15817.64</v>
      </c>
    </row>
    <row r="14" spans="1:5" ht="28.5" customHeight="1" x14ac:dyDescent="0.25">
      <c r="A14" s="398" t="s">
        <v>77</v>
      </c>
      <c r="B14" s="399">
        <v>8047.3</v>
      </c>
      <c r="C14" s="195">
        <v>8297.6</v>
      </c>
      <c r="D14" s="195">
        <v>10201</v>
      </c>
      <c r="E14" s="396">
        <v>144.80000000000001</v>
      </c>
    </row>
    <row r="15" spans="1:5" x14ac:dyDescent="0.25">
      <c r="A15" s="400" t="s">
        <v>84</v>
      </c>
      <c r="B15" s="401" t="s">
        <v>0</v>
      </c>
      <c r="C15" s="401" t="s">
        <v>0</v>
      </c>
      <c r="D15" s="401" t="s">
        <v>0</v>
      </c>
      <c r="E15" s="402" t="s">
        <v>0</v>
      </c>
    </row>
    <row r="16" spans="1:5" x14ac:dyDescent="0.25">
      <c r="A16" s="403" t="s">
        <v>124</v>
      </c>
      <c r="B16" s="395">
        <v>269.60000000000002</v>
      </c>
      <c r="C16" s="395">
        <v>132.5</v>
      </c>
      <c r="D16" s="195">
        <v>241.7</v>
      </c>
      <c r="E16" s="404">
        <v>263.39999999999998</v>
      </c>
    </row>
    <row r="17" spans="1:5" x14ac:dyDescent="0.25">
      <c r="A17" s="405" t="s">
        <v>125</v>
      </c>
      <c r="B17" s="406">
        <v>76.400000000000006</v>
      </c>
      <c r="C17" s="407">
        <v>96.2</v>
      </c>
      <c r="D17" s="408">
        <v>82.4</v>
      </c>
      <c r="E17" s="409">
        <v>87.2</v>
      </c>
    </row>
    <row r="18" spans="1:5" x14ac:dyDescent="0.25">
      <c r="A18" s="410" t="s">
        <v>90</v>
      </c>
      <c r="B18" s="411">
        <v>23631.1</v>
      </c>
      <c r="C18" s="243">
        <v>22840.9</v>
      </c>
      <c r="D18" s="243">
        <v>28985.9</v>
      </c>
      <c r="E18" s="412">
        <v>30974.6</v>
      </c>
    </row>
    <row r="19" spans="1:5" x14ac:dyDescent="0.25">
      <c r="A19" s="394" t="s">
        <v>92</v>
      </c>
      <c r="B19" s="411">
        <v>32067.1</v>
      </c>
      <c r="C19" s="243">
        <v>35052.699999999997</v>
      </c>
      <c r="D19" s="243">
        <v>34748.1</v>
      </c>
      <c r="E19" s="412">
        <v>41495.279999999999</v>
      </c>
    </row>
    <row r="20" spans="1:5" x14ac:dyDescent="0.25">
      <c r="A20" s="410" t="s">
        <v>94</v>
      </c>
      <c r="B20" s="413">
        <v>5340.4</v>
      </c>
      <c r="C20" s="413">
        <v>5114</v>
      </c>
      <c r="D20" s="413">
        <v>5245.1</v>
      </c>
      <c r="E20" s="396">
        <v>6454.65</v>
      </c>
    </row>
    <row r="21" spans="1:5" ht="23.25" customHeight="1" x14ac:dyDescent="0.25">
      <c r="A21" s="414" t="s">
        <v>96</v>
      </c>
      <c r="B21" s="415">
        <v>241.2</v>
      </c>
      <c r="C21" s="413">
        <v>237.7</v>
      </c>
      <c r="D21" s="413">
        <v>398.9</v>
      </c>
      <c r="E21" s="396">
        <v>530.27</v>
      </c>
    </row>
    <row r="22" spans="1:5" ht="27.75" customHeight="1" x14ac:dyDescent="0.25">
      <c r="A22" s="398" t="s">
        <v>98</v>
      </c>
      <c r="B22" s="416">
        <v>114.2</v>
      </c>
      <c r="C22" s="413">
        <v>117.1</v>
      </c>
      <c r="D22" s="413">
        <v>230.9</v>
      </c>
      <c r="E22" s="396">
        <v>341.55</v>
      </c>
    </row>
    <row r="23" spans="1:5" x14ac:dyDescent="0.25">
      <c r="A23" s="417" t="s">
        <v>2</v>
      </c>
      <c r="B23" s="418" t="s">
        <v>0</v>
      </c>
      <c r="C23" s="401" t="s">
        <v>0</v>
      </c>
      <c r="D23" s="401" t="s">
        <v>0</v>
      </c>
      <c r="E23" s="402" t="s">
        <v>0</v>
      </c>
    </row>
  </sheetData>
  <mergeCells count="6">
    <mergeCell ref="A5:A7"/>
    <mergeCell ref="B5:B6"/>
    <mergeCell ref="C5:C6"/>
    <mergeCell ref="D5:D6"/>
    <mergeCell ref="E5:E6"/>
    <mergeCell ref="D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tusuv1</vt:lpstr>
      <vt:lpstr>tusuv2</vt:lpstr>
      <vt:lpstr>zarlaga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Sarantuya_R</cp:lastModifiedBy>
  <cp:lastPrinted>2018-07-04T11:30:40Z</cp:lastPrinted>
  <dcterms:created xsi:type="dcterms:W3CDTF">2017-07-05T02:24:06Z</dcterms:created>
  <dcterms:modified xsi:type="dcterms:W3CDTF">2020-10-06T05:18:53Z</dcterms:modified>
</cp:coreProperties>
</file>