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75" yWindow="-60" windowWidth="5685" windowHeight="4815" tabRatio="932" activeTab="9"/>
  </bookViews>
  <sheets>
    <sheet name="nuur " sheetId="98" r:id="rId1"/>
    <sheet name="Toviyog 1-2" sheetId="93" r:id="rId2"/>
    <sheet name="ED ZAS-9-11" sheetId="1" r:id="rId3"/>
    <sheet name="XA-12-20" sheetId="154" r:id="rId4"/>
    <sheet name="XA-21" sheetId="155" r:id="rId5"/>
    <sheet name="XA-22" sheetId="156" r:id="rId6"/>
    <sheet name="XA-23" sheetId="157" r:id="rId7"/>
    <sheet name="XA-24a" sheetId="158" r:id="rId8"/>
    <sheet name="XA-24b" sheetId="159" r:id="rId9"/>
    <sheet name="XA-25" sheetId="160" r:id="rId10"/>
    <sheet name="Tusuv orlogo-26" sheetId="19" r:id="rId11"/>
    <sheet name="Or_sum-27" sheetId="21" r:id="rId12"/>
    <sheet name="Zarlaga-28,29" sheetId="20" r:id="rId13"/>
    <sheet name="Uglug, avlaga-30" sheetId="22" r:id="rId14"/>
    <sheet name="Maltai urh-31" sheetId="103" r:id="rId15"/>
    <sheet name="Malchin urh-32" sheetId="104" r:id="rId16"/>
    <sheet name="buleglelt-33" sheetId="105" r:id="rId17"/>
    <sheet name="bmal-34-36" sheetId="106" r:id="rId18"/>
    <sheet name="S.ergelt-37" sheetId="107" r:id="rId19"/>
    <sheet name="tejeel-38" sheetId="108" r:id="rId20"/>
    <sheet name="mal_soyol-39" sheetId="109" r:id="rId21"/>
    <sheet name="zardal-40" sheetId="110" r:id="rId22"/>
    <sheet name="hudag-41" sheetId="111" r:id="rId23"/>
    <sheet name="TARIALALT" sheetId="43" state="hidden" r:id="rId24"/>
    <sheet name="tejeever-42" sheetId="112" r:id="rId25"/>
    <sheet name="mashin.t.t-43" sheetId="146" r:id="rId26"/>
    <sheet name="horogdol-44" sheetId="113" r:id="rId27"/>
    <sheet name="Tul boi-45" sheetId="102" r:id="rId28"/>
    <sheet name="Heeltuulegch-46" sheetId="114" r:id="rId29"/>
    <sheet name="tarialalt-47" sheetId="115" r:id="rId30"/>
    <sheet name="ga-n urgats-48" sheetId="116" r:id="rId31"/>
    <sheet name="urgats-49" sheetId="117" r:id="rId32"/>
    <sheet name="Eruul mend-50" sheetId="80" r:id="rId33"/>
    <sheet name="Er Ham-51" sheetId="2" r:id="rId34"/>
    <sheet name="Haldvart uvchin-52,53" sheetId="3" r:id="rId35"/>
    <sheet name="NDX-54" sheetId="145" r:id="rId36"/>
    <sheet name="EBS-udruur suraltsagch-55" sheetId="132" r:id="rId37"/>
    <sheet name="EBS-huiseer-56" sheetId="134" r:id="rId38"/>
    <sheet name="EBS-dotuur bair-57" sheetId="133" r:id="rId39"/>
    <sheet name="SOB-58" sheetId="119" r:id="rId40"/>
    <sheet name="DD-59" sheetId="118" r:id="rId41"/>
    <sheet name="MSUT-60" sheetId="138" r:id="rId42"/>
    <sheet name="Politexnik-61" sheetId="152" r:id="rId43"/>
    <sheet name="Politexnik-62" sheetId="153" r:id="rId44"/>
    <sheet name="TT-63" sheetId="122" r:id="rId45"/>
    <sheet name="TT-64" sheetId="142" r:id="rId46"/>
    <sheet name="MID-65" sheetId="96" r:id="rId47"/>
    <sheet name="Gemt hereg-66" sheetId="46" r:id="rId48"/>
    <sheet name="Gaali-67" sheetId="123" r:id="rId49"/>
    <sheet name="une-68" sheetId="148" r:id="rId50"/>
    <sheet name="NXYX-69, 70" sheetId="139" r:id="rId51"/>
    <sheet name="NXYX-2-71" sheetId="140" r:id="rId52"/>
    <sheet name="XXAAJDUG-72" sheetId="143" r:id="rId53"/>
    <sheet name="YHISan-73" sheetId="137" r:id="rId54"/>
    <sheet name="Bayantumen-74" sheetId="144" r:id="rId55"/>
    <sheet name="ay-75" sheetId="100" r:id="rId56"/>
    <sheet name="ay but-76" sheetId="101" r:id="rId57"/>
    <sheet name="teever-77" sheetId="15" r:id="rId58"/>
    <sheet name="GNsan-78-81" sheetId="124" r:id="rId59"/>
    <sheet name="maljuulalt-82" sheetId="150" r:id="rId60"/>
    <sheet name="ShA-in bair-83" sheetId="126" r:id="rId61"/>
    <sheet name="Ajil haij bui-84" sheetId="128" r:id="rId62"/>
    <sheet name="habtas" sheetId="149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É1" localSheetId="62">[1]taria!$A$65536</definedName>
    <definedName name="É1" localSheetId="0">[2]taria!$A$65536</definedName>
    <definedName name="É1">[3]taria!$A$65536</definedName>
    <definedName name="_xlnm.Print_Area" localSheetId="23">TARIALALT!$1:$1048576</definedName>
    <definedName name="й">'Zarlaga-28,29'!$F$163</definedName>
    <definedName name="й1" localSheetId="62">'[4]1 SAR'!$IG$12</definedName>
    <definedName name="й1" localSheetId="0">'[5]1 SAR'!$IG$12</definedName>
    <definedName name="й1">'[6]1 SAR'!$IG$12</definedName>
  </definedNames>
  <calcPr calcId="145621"/>
</workbook>
</file>

<file path=xl/calcChain.xml><?xml version="1.0" encoding="utf-8"?>
<calcChain xmlns="http://schemas.openxmlformats.org/spreadsheetml/2006/main">
  <c r="E15" i="157" l="1"/>
  <c r="D15" i="157"/>
  <c r="E14" i="157"/>
  <c r="D14" i="157"/>
  <c r="M13" i="157"/>
  <c r="L13" i="157"/>
  <c r="K13" i="157"/>
  <c r="J13" i="157"/>
  <c r="E13" i="157"/>
  <c r="D13" i="157"/>
  <c r="M12" i="157"/>
  <c r="L12" i="157"/>
  <c r="K12" i="157"/>
  <c r="J12" i="157"/>
  <c r="E12" i="157"/>
  <c r="D12" i="157"/>
  <c r="M11" i="157"/>
  <c r="L11" i="157"/>
  <c r="K11" i="157"/>
  <c r="J11" i="157"/>
  <c r="E11" i="157"/>
  <c r="E10" i="157"/>
  <c r="E9" i="157"/>
  <c r="E8" i="157"/>
  <c r="D8" i="157"/>
  <c r="E7" i="157"/>
  <c r="D7" i="157"/>
  <c r="E6" i="157"/>
  <c r="D6" i="157"/>
  <c r="E5" i="157"/>
  <c r="D5" i="157"/>
  <c r="E4" i="157"/>
  <c r="D4" i="157"/>
  <c r="I20" i="156"/>
  <c r="H20" i="156"/>
  <c r="G20" i="156"/>
  <c r="E20" i="156"/>
  <c r="D20" i="156"/>
  <c r="C20" i="156"/>
  <c r="B20" i="156"/>
  <c r="J19" i="156"/>
  <c r="J18" i="156"/>
  <c r="J17" i="156"/>
  <c r="J16" i="156"/>
  <c r="J15" i="156"/>
  <c r="J14" i="156"/>
  <c r="J13" i="156"/>
  <c r="J12" i="156"/>
  <c r="J11" i="156"/>
  <c r="J10" i="156"/>
  <c r="J9" i="156"/>
  <c r="J8" i="156"/>
  <c r="J7" i="156"/>
  <c r="J6" i="156"/>
  <c r="J20" i="156" l="1"/>
  <c r="AG36" i="132"/>
  <c r="AF36" i="132"/>
  <c r="AE36" i="132"/>
  <c r="AD36" i="132"/>
  <c r="AC36" i="132"/>
  <c r="AB36" i="132"/>
  <c r="AA36" i="132"/>
  <c r="Z36" i="132"/>
  <c r="Y36" i="132"/>
  <c r="X36" i="132"/>
  <c r="W36" i="132"/>
  <c r="V36" i="132"/>
  <c r="U36" i="132"/>
  <c r="T36" i="132"/>
  <c r="S36" i="132"/>
  <c r="R36" i="132"/>
  <c r="Q36" i="132"/>
  <c r="P36" i="132"/>
  <c r="O36" i="132"/>
  <c r="N36" i="132"/>
  <c r="M36" i="132"/>
  <c r="L36" i="132"/>
  <c r="K36" i="132"/>
  <c r="J36" i="132"/>
  <c r="I36" i="132"/>
  <c r="H36" i="132"/>
  <c r="G36" i="132"/>
  <c r="F36" i="132"/>
  <c r="E36" i="132"/>
  <c r="D36" i="132"/>
  <c r="C36" i="132"/>
  <c r="B36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V33" i="132"/>
  <c r="U33" i="132"/>
  <c r="T33" i="132"/>
  <c r="S33" i="132"/>
  <c r="R33" i="132"/>
  <c r="Q33" i="132"/>
  <c r="P33" i="132"/>
  <c r="O33" i="132"/>
  <c r="N33" i="132"/>
  <c r="M33" i="132"/>
  <c r="L33" i="132"/>
  <c r="K33" i="132"/>
  <c r="J33" i="132"/>
  <c r="I33" i="132"/>
  <c r="H33" i="132"/>
  <c r="G33" i="132"/>
  <c r="F33" i="132"/>
  <c r="E33" i="132"/>
  <c r="D33" i="132"/>
  <c r="C33" i="132"/>
  <c r="B33" i="132"/>
  <c r="AG9" i="132"/>
  <c r="AF9" i="132"/>
  <c r="AE9" i="132"/>
  <c r="AD9" i="132"/>
  <c r="AC9" i="132"/>
  <c r="AB9" i="132"/>
  <c r="AA9" i="132"/>
  <c r="Z9" i="132"/>
  <c r="Y9" i="132"/>
  <c r="X9" i="132"/>
  <c r="W9" i="132"/>
  <c r="V9" i="132"/>
  <c r="U9" i="132"/>
  <c r="T9" i="132"/>
  <c r="S9" i="132"/>
  <c r="R9" i="132"/>
  <c r="Q9" i="132"/>
  <c r="P9" i="132"/>
  <c r="O9" i="132"/>
  <c r="N9" i="132"/>
  <c r="M9" i="132"/>
  <c r="L9" i="132"/>
  <c r="K9" i="132"/>
  <c r="J9" i="132"/>
  <c r="I9" i="132"/>
  <c r="H9" i="132"/>
  <c r="G9" i="132"/>
  <c r="F9" i="132"/>
  <c r="E9" i="132"/>
  <c r="D9" i="132"/>
  <c r="C9" i="132"/>
  <c r="B9" i="132"/>
  <c r="B7" i="150"/>
  <c r="F7" i="150"/>
  <c r="F21" i="150" s="1"/>
  <c r="B8" i="150"/>
  <c r="F8" i="150"/>
  <c r="B9" i="150"/>
  <c r="F9" i="150"/>
  <c r="B10" i="150"/>
  <c r="F10" i="150"/>
  <c r="B11" i="150"/>
  <c r="F11" i="150"/>
  <c r="B12" i="150"/>
  <c r="F12" i="150"/>
  <c r="B13" i="150"/>
  <c r="F13" i="150"/>
  <c r="B14" i="150"/>
  <c r="B21" i="150" s="1"/>
  <c r="F14" i="150"/>
  <c r="B15" i="150"/>
  <c r="F15" i="150"/>
  <c r="B16" i="150"/>
  <c r="F16" i="150"/>
  <c r="B17" i="150"/>
  <c r="F17" i="150"/>
  <c r="B18" i="150"/>
  <c r="F18" i="150"/>
  <c r="B19" i="150"/>
  <c r="F19" i="150"/>
  <c r="B20" i="150"/>
  <c r="F20" i="150"/>
  <c r="C21" i="150"/>
  <c r="D21" i="150"/>
  <c r="E21" i="150"/>
  <c r="G21" i="150"/>
  <c r="H21" i="150"/>
  <c r="I21" i="150"/>
  <c r="J21" i="150"/>
  <c r="B19" i="146"/>
  <c r="C19" i="146"/>
  <c r="D19" i="146"/>
  <c r="E19" i="146"/>
  <c r="F19" i="146"/>
  <c r="G19" i="146"/>
  <c r="H19" i="146"/>
  <c r="I19" i="146"/>
  <c r="J19" i="146"/>
  <c r="K19" i="146"/>
  <c r="L19" i="146"/>
  <c r="M19" i="146"/>
  <c r="N19" i="146"/>
  <c r="O19" i="146"/>
  <c r="P19" i="146"/>
  <c r="Q19" i="146"/>
  <c r="R19" i="146"/>
  <c r="S19" i="146"/>
  <c r="T19" i="146"/>
  <c r="U19" i="146"/>
  <c r="V19" i="146"/>
  <c r="W19" i="146"/>
  <c r="X19" i="146"/>
  <c r="E10" i="124"/>
  <c r="I10" i="124"/>
  <c r="Q10" i="124"/>
  <c r="Y10" i="124"/>
  <c r="AB10" i="124"/>
  <c r="AJ10" i="124"/>
  <c r="AN10" i="124"/>
  <c r="AS10" i="124"/>
  <c r="AX10" i="124"/>
  <c r="BA10" i="124"/>
  <c r="BD10" i="124"/>
  <c r="BK10" i="124"/>
  <c r="BR10" i="124"/>
  <c r="BX10" i="124"/>
  <c r="BW10" i="124" s="1"/>
  <c r="E11" i="124"/>
  <c r="I11" i="124"/>
  <c r="D11" i="124" s="1"/>
  <c r="Q11" i="124"/>
  <c r="Y11" i="124"/>
  <c r="AB11" i="124"/>
  <c r="AJ11" i="124"/>
  <c r="AN11" i="124"/>
  <c r="AS11" i="124"/>
  <c r="AR11" i="124" s="1"/>
  <c r="AX11" i="124"/>
  <c r="BA11" i="124"/>
  <c r="BD11" i="124"/>
  <c r="BK11" i="124"/>
  <c r="BR11" i="124"/>
  <c r="BX11" i="124"/>
  <c r="BW11" i="124" s="1"/>
  <c r="E12" i="124"/>
  <c r="I12" i="124"/>
  <c r="D12" i="124" s="1"/>
  <c r="Q12" i="124"/>
  <c r="Y12" i="124"/>
  <c r="AB12" i="124"/>
  <c r="AJ12" i="124"/>
  <c r="AN12" i="124"/>
  <c r="AS12" i="124"/>
  <c r="AX12" i="124"/>
  <c r="BA12" i="124"/>
  <c r="BD12" i="124"/>
  <c r="BK12" i="124"/>
  <c r="BR12" i="124"/>
  <c r="BW12" i="124"/>
  <c r="BX12" i="124"/>
  <c r="E13" i="124"/>
  <c r="I13" i="124"/>
  <c r="Q13" i="124"/>
  <c r="D13" i="124" s="1"/>
  <c r="Y13" i="124"/>
  <c r="AB13" i="124"/>
  <c r="AJ13" i="124"/>
  <c r="AN13" i="124"/>
  <c r="X13" i="124" s="1"/>
  <c r="AS13" i="124"/>
  <c r="AX13" i="124"/>
  <c r="BA13" i="124"/>
  <c r="BD13" i="124"/>
  <c r="BK13" i="124"/>
  <c r="BR13" i="124"/>
  <c r="BX13" i="124"/>
  <c r="BW13" i="124" s="1"/>
  <c r="E14" i="124"/>
  <c r="I14" i="124"/>
  <c r="Q14" i="124"/>
  <c r="Y14" i="124"/>
  <c r="AB14" i="124"/>
  <c r="AJ14" i="124"/>
  <c r="AN14" i="124"/>
  <c r="AS14" i="124"/>
  <c r="AX14" i="124"/>
  <c r="BA14" i="124"/>
  <c r="BD14" i="124"/>
  <c r="BK14" i="124"/>
  <c r="BR14" i="124"/>
  <c r="BX14" i="124"/>
  <c r="BW14" i="124" s="1"/>
  <c r="E15" i="124"/>
  <c r="I15" i="124"/>
  <c r="Q15" i="124"/>
  <c r="Y15" i="124"/>
  <c r="AB15" i="124"/>
  <c r="AJ15" i="124"/>
  <c r="AN15" i="124"/>
  <c r="AS15" i="124"/>
  <c r="AX15" i="124"/>
  <c r="BA15" i="124"/>
  <c r="BD15" i="124"/>
  <c r="BK15" i="124"/>
  <c r="BR15" i="124"/>
  <c r="BX15" i="124"/>
  <c r="BW15" i="124" s="1"/>
  <c r="E16" i="124"/>
  <c r="I16" i="124"/>
  <c r="D16" i="124" s="1"/>
  <c r="Q16" i="124"/>
  <c r="Y16" i="124"/>
  <c r="AB16" i="124"/>
  <c r="AJ16" i="124"/>
  <c r="AN16" i="124"/>
  <c r="AS16" i="124"/>
  <c r="AR16" i="124" s="1"/>
  <c r="AX16" i="124"/>
  <c r="BA16" i="124"/>
  <c r="BD16" i="124"/>
  <c r="BK16" i="124"/>
  <c r="BR16" i="124"/>
  <c r="BW16" i="124"/>
  <c r="BX16" i="124"/>
  <c r="E17" i="124"/>
  <c r="I17" i="124"/>
  <c r="Q17" i="124"/>
  <c r="Y17" i="124"/>
  <c r="AB17" i="124"/>
  <c r="AJ17" i="124"/>
  <c r="AN17" i="124"/>
  <c r="AS17" i="124"/>
  <c r="AX17" i="124"/>
  <c r="AR17" i="124" s="1"/>
  <c r="BA17" i="124"/>
  <c r="BD17" i="124"/>
  <c r="BK17" i="124"/>
  <c r="BR17" i="124"/>
  <c r="BX17" i="124"/>
  <c r="BW17" i="124" s="1"/>
  <c r="E18" i="124"/>
  <c r="I18" i="124"/>
  <c r="Q18" i="124"/>
  <c r="Y18" i="124"/>
  <c r="AB18" i="124"/>
  <c r="AJ18" i="124"/>
  <c r="AN18" i="124"/>
  <c r="X18" i="124" s="1"/>
  <c r="AS18" i="124"/>
  <c r="AX18" i="124"/>
  <c r="BA18" i="124"/>
  <c r="BD18" i="124"/>
  <c r="BK18" i="124"/>
  <c r="BR18" i="124"/>
  <c r="BX18" i="124"/>
  <c r="BW18" i="124" s="1"/>
  <c r="E19" i="124"/>
  <c r="I19" i="124"/>
  <c r="Q19" i="124"/>
  <c r="Y19" i="124"/>
  <c r="AB19" i="124"/>
  <c r="AJ19" i="124"/>
  <c r="AN19" i="124"/>
  <c r="AS19" i="124"/>
  <c r="AX19" i="124"/>
  <c r="BA19" i="124"/>
  <c r="BD19" i="124"/>
  <c r="BK19" i="124"/>
  <c r="BR19" i="124"/>
  <c r="BX19" i="124"/>
  <c r="BW19" i="124" s="1"/>
  <c r="E20" i="124"/>
  <c r="I20" i="124"/>
  <c r="D20" i="124" s="1"/>
  <c r="Q20" i="124"/>
  <c r="Y20" i="124"/>
  <c r="AB20" i="124"/>
  <c r="AJ20" i="124"/>
  <c r="AN20" i="124"/>
  <c r="AS20" i="124"/>
  <c r="AX20" i="124"/>
  <c r="BA20" i="124"/>
  <c r="BD20" i="124"/>
  <c r="BK20" i="124"/>
  <c r="BR20" i="124"/>
  <c r="BW20" i="124"/>
  <c r="BX20" i="124"/>
  <c r="E21" i="124"/>
  <c r="I21" i="124"/>
  <c r="Q21" i="124"/>
  <c r="D21" i="124" s="1"/>
  <c r="Y21" i="124"/>
  <c r="AB21" i="124"/>
  <c r="AJ21" i="124"/>
  <c r="AN21" i="124"/>
  <c r="X21" i="124" s="1"/>
  <c r="AS21" i="124"/>
  <c r="AX21" i="124"/>
  <c r="BA21" i="124"/>
  <c r="BD21" i="124"/>
  <c r="BK21" i="124"/>
  <c r="BR21" i="124"/>
  <c r="BX21" i="124"/>
  <c r="BW21" i="124" s="1"/>
  <c r="E22" i="124"/>
  <c r="I22" i="124"/>
  <c r="Q22" i="124"/>
  <c r="Y22" i="124"/>
  <c r="AB22" i="124"/>
  <c r="AJ22" i="124"/>
  <c r="AN22" i="124"/>
  <c r="AS22" i="124"/>
  <c r="AX22" i="124"/>
  <c r="BA22" i="124"/>
  <c r="BD22" i="124"/>
  <c r="BK22" i="124"/>
  <c r="BR22" i="124"/>
  <c r="BX22" i="124"/>
  <c r="BW22" i="124" s="1"/>
  <c r="E23" i="124"/>
  <c r="I23" i="124"/>
  <c r="Q23" i="124"/>
  <c r="Y23" i="124"/>
  <c r="AB23" i="124"/>
  <c r="AJ23" i="124"/>
  <c r="AN23" i="124"/>
  <c r="AS23" i="124"/>
  <c r="AX23" i="124"/>
  <c r="BA23" i="124"/>
  <c r="BD23" i="124"/>
  <c r="BK23" i="124"/>
  <c r="BR23" i="124"/>
  <c r="BX23" i="124"/>
  <c r="BW23" i="124" s="1"/>
  <c r="F24" i="124"/>
  <c r="G24" i="124"/>
  <c r="H24" i="124"/>
  <c r="J24" i="124"/>
  <c r="K24" i="124"/>
  <c r="L24" i="124"/>
  <c r="M24" i="124"/>
  <c r="N24" i="124"/>
  <c r="O24" i="124"/>
  <c r="P24" i="124"/>
  <c r="R24" i="124"/>
  <c r="S24" i="124"/>
  <c r="T24" i="124"/>
  <c r="U24" i="124"/>
  <c r="V24" i="124"/>
  <c r="Z24" i="124"/>
  <c r="AA24" i="124"/>
  <c r="AC24" i="124"/>
  <c r="AD24" i="124"/>
  <c r="AE24" i="124"/>
  <c r="AF24" i="124"/>
  <c r="AG24" i="124"/>
  <c r="AH24" i="124"/>
  <c r="AI24" i="124"/>
  <c r="AK24" i="124"/>
  <c r="AL24" i="124"/>
  <c r="AM24" i="124"/>
  <c r="AO24" i="124"/>
  <c r="AN24" i="124" s="1"/>
  <c r="AP24" i="124"/>
  <c r="AT24" i="124"/>
  <c r="AU24" i="124"/>
  <c r="AV24" i="124"/>
  <c r="AW24" i="124"/>
  <c r="AY24" i="124"/>
  <c r="AZ24" i="124"/>
  <c r="BB24" i="124"/>
  <c r="BA24" i="124" s="1"/>
  <c r="BC24" i="124"/>
  <c r="BE24" i="124"/>
  <c r="BF24" i="124"/>
  <c r="BG24" i="124"/>
  <c r="BH24" i="124"/>
  <c r="BI24" i="124"/>
  <c r="BJ24" i="124"/>
  <c r="BL24" i="124"/>
  <c r="BM24" i="124"/>
  <c r="BN24" i="124"/>
  <c r="BO24" i="124"/>
  <c r="BP24" i="124"/>
  <c r="BS24" i="124"/>
  <c r="BT24" i="124"/>
  <c r="BU24" i="124"/>
  <c r="BV24" i="124"/>
  <c r="BY24" i="124"/>
  <c r="BZ24" i="124"/>
  <c r="CA24" i="124"/>
  <c r="CB24" i="124"/>
  <c r="CC24" i="124"/>
  <c r="CD24" i="124"/>
  <c r="CE24" i="124"/>
  <c r="CF24" i="124"/>
  <c r="CG24" i="124"/>
  <c r="CH24" i="124"/>
  <c r="CI24" i="124"/>
  <c r="CJ24" i="124"/>
  <c r="B21" i="126"/>
  <c r="C21" i="126"/>
  <c r="D21" i="126"/>
  <c r="E21" i="126"/>
  <c r="F21" i="126"/>
  <c r="G21" i="126"/>
  <c r="H21" i="126"/>
  <c r="I21" i="126"/>
  <c r="J21" i="126"/>
  <c r="K21" i="126"/>
  <c r="L21" i="126"/>
  <c r="E7" i="139"/>
  <c r="E17" i="139"/>
  <c r="E20" i="139"/>
  <c r="E14" i="139" s="1"/>
  <c r="E23" i="139"/>
  <c r="F8" i="148"/>
  <c r="AH8" i="148"/>
  <c r="D9" i="148"/>
  <c r="D10" i="148" s="1"/>
  <c r="D11" i="148" s="1"/>
  <c r="D12" i="148" s="1"/>
  <c r="D13" i="148" s="1"/>
  <c r="D14" i="148" s="1"/>
  <c r="D15" i="148" s="1"/>
  <c r="D16" i="148" s="1"/>
  <c r="D17" i="148" s="1"/>
  <c r="D19" i="148" s="1"/>
  <c r="D20" i="148" s="1"/>
  <c r="F9" i="148"/>
  <c r="AH9" i="148"/>
  <c r="F10" i="148"/>
  <c r="AH10" i="148"/>
  <c r="F11" i="148"/>
  <c r="AH11" i="148"/>
  <c r="F12" i="148"/>
  <c r="AH12" i="148"/>
  <c r="F13" i="148"/>
  <c r="AH13" i="148"/>
  <c r="F14" i="148"/>
  <c r="AH14" i="148"/>
  <c r="F15" i="148"/>
  <c r="AH15" i="148"/>
  <c r="F16" i="148"/>
  <c r="AH16" i="148"/>
  <c r="F17" i="148"/>
  <c r="AH17" i="148"/>
  <c r="AH18" i="148"/>
  <c r="F19" i="148"/>
  <c r="AH19" i="148"/>
  <c r="F20" i="148"/>
  <c r="AH20" i="148"/>
  <c r="F21" i="148"/>
  <c r="AH21" i="148"/>
  <c r="D22" i="148"/>
  <c r="D23" i="148" s="1"/>
  <c r="D24" i="148" s="1"/>
  <c r="D25" i="148" s="1"/>
  <c r="F22" i="148"/>
  <c r="AH22" i="148"/>
  <c r="F23" i="148"/>
  <c r="AH23" i="148"/>
  <c r="F24" i="148"/>
  <c r="AH24" i="148"/>
  <c r="F25" i="148"/>
  <c r="AH25" i="148"/>
  <c r="F26" i="148"/>
  <c r="AH26" i="148"/>
  <c r="F27" i="148"/>
  <c r="AH27" i="148"/>
  <c r="AH28" i="148"/>
  <c r="F29" i="148"/>
  <c r="AH29" i="148"/>
  <c r="D30" i="148"/>
  <c r="F30" i="148"/>
  <c r="AH30" i="148"/>
  <c r="D31" i="148"/>
  <c r="D32" i="148" s="1"/>
  <c r="F31" i="148"/>
  <c r="AH31" i="148"/>
  <c r="F32" i="148"/>
  <c r="AH32" i="148"/>
  <c r="F33" i="148"/>
  <c r="AH33" i="148"/>
  <c r="D34" i="148"/>
  <c r="D36" i="148" s="1"/>
  <c r="D37" i="148" s="1"/>
  <c r="D38" i="148" s="1"/>
  <c r="D39" i="148" s="1"/>
  <c r="D41" i="148" s="1"/>
  <c r="D42" i="148" s="1"/>
  <c r="D43" i="148" s="1"/>
  <c r="F34" i="148"/>
  <c r="AH34" i="148"/>
  <c r="AH35" i="148"/>
  <c r="F36" i="148"/>
  <c r="AH36" i="148"/>
  <c r="F37" i="148"/>
  <c r="AH37" i="148"/>
  <c r="F38" i="148"/>
  <c r="AH38" i="148"/>
  <c r="F39" i="148"/>
  <c r="AH39" i="148"/>
  <c r="AH40" i="148"/>
  <c r="F41" i="148"/>
  <c r="AH41" i="148"/>
  <c r="F42" i="148"/>
  <c r="AH42" i="148"/>
  <c r="F43" i="148"/>
  <c r="AH43" i="148"/>
  <c r="F44" i="148"/>
  <c r="AH44" i="148"/>
  <c r="AH45" i="148"/>
  <c r="F46" i="148"/>
  <c r="AH46" i="148"/>
  <c r="D47" i="148"/>
  <c r="D48" i="148" s="1"/>
  <c r="D49" i="148" s="1"/>
  <c r="D50" i="148" s="1"/>
  <c r="D51" i="148" s="1"/>
  <c r="D52" i="148" s="1"/>
  <c r="F47" i="148"/>
  <c r="AH47" i="148"/>
  <c r="F48" i="148"/>
  <c r="AH48" i="148"/>
  <c r="F49" i="148"/>
  <c r="AH49" i="148"/>
  <c r="F50" i="148"/>
  <c r="AH50" i="148"/>
  <c r="F51" i="148"/>
  <c r="AH51" i="148"/>
  <c r="F52" i="148"/>
  <c r="AH52" i="148"/>
  <c r="F53" i="148"/>
  <c r="AH53" i="148"/>
  <c r="F54" i="148"/>
  <c r="AH54" i="148"/>
  <c r="AH55" i="148"/>
  <c r="F56" i="148"/>
  <c r="AH56" i="148"/>
  <c r="D57" i="148"/>
  <c r="F57" i="148"/>
  <c r="AH57" i="148"/>
  <c r="D58" i="148"/>
  <c r="D59" i="148" s="1"/>
  <c r="D60" i="148" s="1"/>
  <c r="F58" i="148"/>
  <c r="AH58" i="148"/>
  <c r="F59" i="148"/>
  <c r="AH59" i="148"/>
  <c r="F60" i="148"/>
  <c r="AH60" i="148"/>
  <c r="F61" i="148"/>
  <c r="AH61" i="148"/>
  <c r="AH62" i="148"/>
  <c r="D63" i="148"/>
  <c r="D64" i="148" s="1"/>
  <c r="D65" i="148" s="1"/>
  <c r="D66" i="148" s="1"/>
  <c r="D67" i="148" s="1"/>
  <c r="D68" i="148" s="1"/>
  <c r="D71" i="148" s="1"/>
  <c r="D72" i="148" s="1"/>
  <c r="D73" i="148" s="1"/>
  <c r="D75" i="148" s="1"/>
  <c r="D76" i="148" s="1"/>
  <c r="D80" i="148" s="1"/>
  <c r="D81" i="148" s="1"/>
  <c r="D83" i="148" s="1"/>
  <c r="D86" i="148" s="1"/>
  <c r="D87" i="148" s="1"/>
  <c r="D91" i="148" s="1"/>
  <c r="D92" i="148" s="1"/>
  <c r="D93" i="148" s="1"/>
  <c r="D94" i="148" s="1"/>
  <c r="D97" i="148" s="1"/>
  <c r="D98" i="148" s="1"/>
  <c r="D99" i="148" s="1"/>
  <c r="D100" i="148" s="1"/>
  <c r="D101" i="148" s="1"/>
  <c r="D102" i="148" s="1"/>
  <c r="D103" i="148" s="1"/>
  <c r="D104" i="148" s="1"/>
  <c r="D106" i="148" s="1"/>
  <c r="D107" i="148" s="1"/>
  <c r="D108" i="148" s="1"/>
  <c r="D109" i="148" s="1"/>
  <c r="D110" i="148" s="1"/>
  <c r="D111" i="148" s="1"/>
  <c r="D112" i="148" s="1"/>
  <c r="D113" i="148" s="1"/>
  <c r="D114" i="148" s="1"/>
  <c r="D115" i="148" s="1"/>
  <c r="D116" i="148" s="1"/>
  <c r="D117" i="148" s="1"/>
  <c r="D119" i="148" s="1"/>
  <c r="D120" i="148" s="1"/>
  <c r="D121" i="148" s="1"/>
  <c r="D122" i="148" s="1"/>
  <c r="D123" i="148" s="1"/>
  <c r="D124" i="148" s="1"/>
  <c r="D125" i="148" s="1"/>
  <c r="D127" i="148" s="1"/>
  <c r="D128" i="148" s="1"/>
  <c r="D129" i="148" s="1"/>
  <c r="D133" i="148" s="1"/>
  <c r="D134" i="148" s="1"/>
  <c r="D135" i="148" s="1"/>
  <c r="D137" i="148" s="1"/>
  <c r="D138" i="148" s="1"/>
  <c r="D139" i="148" s="1"/>
  <c r="D141" i="148" s="1"/>
  <c r="D142" i="148" s="1"/>
  <c r="D143" i="148" s="1"/>
  <c r="D144" i="148" s="1"/>
  <c r="F63" i="148"/>
  <c r="AH63" i="148"/>
  <c r="F64" i="148"/>
  <c r="AH64" i="148"/>
  <c r="F65" i="148"/>
  <c r="AH65" i="148"/>
  <c r="F66" i="148"/>
  <c r="AH66" i="148"/>
  <c r="F67" i="148"/>
  <c r="AH67" i="148"/>
  <c r="F68" i="148"/>
  <c r="AH68" i="148"/>
  <c r="AH69" i="148"/>
  <c r="AH70" i="148"/>
  <c r="F71" i="148"/>
  <c r="AH71" i="148"/>
  <c r="F72" i="148"/>
  <c r="AH72" i="148"/>
  <c r="F73" i="148"/>
  <c r="AH73" i="148"/>
  <c r="AH74" i="148"/>
  <c r="F75" i="148"/>
  <c r="AH75" i="148"/>
  <c r="F76" i="148"/>
  <c r="AH76" i="148"/>
  <c r="AH77" i="148"/>
  <c r="AH78" i="148"/>
  <c r="AH79" i="148"/>
  <c r="F80" i="148"/>
  <c r="AH80" i="148"/>
  <c r="F81" i="148"/>
  <c r="AH81" i="148"/>
  <c r="AH82" i="148"/>
  <c r="F83" i="148"/>
  <c r="F82" i="148" s="1"/>
  <c r="AH83" i="148"/>
  <c r="AH84" i="148"/>
  <c r="AH85" i="148"/>
  <c r="F86" i="148"/>
  <c r="F85" i="148" s="1"/>
  <c r="F84" i="148" s="1"/>
  <c r="AH86" i="148"/>
  <c r="F87" i="148"/>
  <c r="AH87" i="148"/>
  <c r="AH88" i="148"/>
  <c r="AH89" i="148"/>
  <c r="AH90" i="148"/>
  <c r="F91" i="148"/>
  <c r="AH91" i="148"/>
  <c r="F92" i="148"/>
  <c r="AH92" i="148"/>
  <c r="F93" i="148"/>
  <c r="AH93" i="148"/>
  <c r="F94" i="148"/>
  <c r="AH94" i="148"/>
  <c r="AH95" i="148"/>
  <c r="AH96" i="148"/>
  <c r="F97" i="148"/>
  <c r="AH97" i="148"/>
  <c r="F98" i="148"/>
  <c r="AH98" i="148"/>
  <c r="F99" i="148"/>
  <c r="AH99" i="148"/>
  <c r="F100" i="148"/>
  <c r="AH100" i="148"/>
  <c r="F101" i="148"/>
  <c r="AH101" i="148"/>
  <c r="F102" i="148"/>
  <c r="AH102" i="148"/>
  <c r="F103" i="148"/>
  <c r="AH103" i="148"/>
  <c r="F104" i="148"/>
  <c r="AH104" i="148"/>
  <c r="AH105" i="148"/>
  <c r="F106" i="148"/>
  <c r="AH106" i="148"/>
  <c r="F107" i="148"/>
  <c r="AH107" i="148"/>
  <c r="F108" i="148"/>
  <c r="AH108" i="148"/>
  <c r="F109" i="148"/>
  <c r="AH109" i="148"/>
  <c r="F110" i="148"/>
  <c r="AH110" i="148"/>
  <c r="F111" i="148"/>
  <c r="AH111" i="148"/>
  <c r="F112" i="148"/>
  <c r="AH112" i="148"/>
  <c r="F113" i="148"/>
  <c r="AH113" i="148"/>
  <c r="F114" i="148"/>
  <c r="AH114" i="148"/>
  <c r="F115" i="148"/>
  <c r="AH115" i="148"/>
  <c r="F116" i="148"/>
  <c r="AH116" i="148"/>
  <c r="F117" i="148"/>
  <c r="AH117" i="148"/>
  <c r="AH118" i="148"/>
  <c r="F119" i="148"/>
  <c r="AH119" i="148"/>
  <c r="F120" i="148"/>
  <c r="AH120" i="148"/>
  <c r="F121" i="148"/>
  <c r="AH121" i="148"/>
  <c r="F122" i="148"/>
  <c r="AH122" i="148"/>
  <c r="F123" i="148"/>
  <c r="AH123" i="148"/>
  <c r="F124" i="148"/>
  <c r="AH124" i="148"/>
  <c r="F125" i="148"/>
  <c r="AH125" i="148"/>
  <c r="AH126" i="148"/>
  <c r="F127" i="148"/>
  <c r="AH127" i="148"/>
  <c r="F128" i="148"/>
  <c r="AH128" i="148"/>
  <c r="F129" i="148"/>
  <c r="AH129" i="148"/>
  <c r="AH130" i="148"/>
  <c r="AH131" i="148"/>
  <c r="AH132" i="148"/>
  <c r="F133" i="148"/>
  <c r="AH133" i="148"/>
  <c r="F134" i="148"/>
  <c r="AH134" i="148"/>
  <c r="F135" i="148"/>
  <c r="AH135" i="148"/>
  <c r="AH136" i="148"/>
  <c r="F137" i="148"/>
  <c r="AH137" i="148"/>
  <c r="F138" i="148"/>
  <c r="AH138" i="148"/>
  <c r="F139" i="148"/>
  <c r="AH139" i="148"/>
  <c r="AH140" i="148"/>
  <c r="F141" i="148"/>
  <c r="AH141" i="148"/>
  <c r="F142" i="148"/>
  <c r="AH142" i="148"/>
  <c r="F143" i="148"/>
  <c r="AH143" i="148"/>
  <c r="F144" i="148"/>
  <c r="AH144" i="148"/>
  <c r="AH145" i="148"/>
  <c r="AH146" i="148"/>
  <c r="AH147" i="148"/>
  <c r="F148" i="148"/>
  <c r="F147" i="148" s="1"/>
  <c r="F146" i="148" s="1"/>
  <c r="AH148" i="148"/>
  <c r="AH149" i="148"/>
  <c r="AH150" i="148"/>
  <c r="D151" i="148"/>
  <c r="D152" i="148" s="1"/>
  <c r="D153" i="148" s="1"/>
  <c r="D154" i="148" s="1"/>
  <c r="D155" i="148" s="1"/>
  <c r="D156" i="148" s="1"/>
  <c r="D158" i="148" s="1"/>
  <c r="D161" i="148" s="1"/>
  <c r="D162" i="148" s="1"/>
  <c r="D164" i="148" s="1"/>
  <c r="D165" i="148" s="1"/>
  <c r="D167" i="148" s="1"/>
  <c r="D169" i="148" s="1"/>
  <c r="D170" i="148" s="1"/>
  <c r="D173" i="148" s="1"/>
  <c r="D174" i="148" s="1"/>
  <c r="D176" i="148" s="1"/>
  <c r="D177" i="148" s="1"/>
  <c r="D179" i="148" s="1"/>
  <c r="D183" i="148" s="1"/>
  <c r="D184" i="148" s="1"/>
  <c r="D185" i="148" s="1"/>
  <c r="D186" i="148" s="1"/>
  <c r="D188" i="148" s="1"/>
  <c r="D189" i="148" s="1"/>
  <c r="D192" i="148" s="1"/>
  <c r="D193" i="148" s="1"/>
  <c r="D194" i="148" s="1"/>
  <c r="D195" i="148" s="1"/>
  <c r="D198" i="148" s="1"/>
  <c r="D199" i="148" s="1"/>
  <c r="D200" i="148" s="1"/>
  <c r="D201" i="148" s="1"/>
  <c r="D204" i="148" s="1"/>
  <c r="D205" i="148" s="1"/>
  <c r="D206" i="148" s="1"/>
  <c r="D207" i="148" s="1"/>
  <c r="D210" i="148" s="1"/>
  <c r="D211" i="148" s="1"/>
  <c r="D212" i="148" s="1"/>
  <c r="D215" i="148" s="1"/>
  <c r="D216" i="148" s="1"/>
  <c r="D217" i="148" s="1"/>
  <c r="D218" i="148" s="1"/>
  <c r="D219" i="148" s="1"/>
  <c r="D223" i="148" s="1"/>
  <c r="D224" i="148" s="1"/>
  <c r="D225" i="148" s="1"/>
  <c r="D226" i="148" s="1"/>
  <c r="D227" i="148" s="1"/>
  <c r="D228" i="148" s="1"/>
  <c r="D229" i="148" s="1"/>
  <c r="D232" i="148" s="1"/>
  <c r="D233" i="148" s="1"/>
  <c r="D236" i="148" s="1"/>
  <c r="D237" i="148" s="1"/>
  <c r="D241" i="148" s="1"/>
  <c r="D243" i="148" s="1"/>
  <c r="D246" i="148" s="1"/>
  <c r="D248" i="148" s="1"/>
  <c r="D249" i="148" s="1"/>
  <c r="D250" i="148" s="1"/>
  <c r="D252" i="148" s="1"/>
  <c r="D255" i="148" s="1"/>
  <c r="D257" i="148" s="1"/>
  <c r="D258" i="148" s="1"/>
  <c r="D259" i="148" s="1"/>
  <c r="D261" i="148" s="1"/>
  <c r="D265" i="148" s="1"/>
  <c r="D266" i="148" s="1"/>
  <c r="D267" i="148" s="1"/>
  <c r="D268" i="148" s="1"/>
  <c r="D269" i="148" s="1"/>
  <c r="D273" i="148" s="1"/>
  <c r="D274" i="148" s="1"/>
  <c r="D275" i="148" s="1"/>
  <c r="D277" i="148" s="1"/>
  <c r="D278" i="148" s="1"/>
  <c r="D281" i="148" s="1"/>
  <c r="D282" i="148" s="1"/>
  <c r="D283" i="148" s="1"/>
  <c r="D285" i="148" s="1"/>
  <c r="D288" i="148" s="1"/>
  <c r="D289" i="148" s="1"/>
  <c r="D291" i="148" s="1"/>
  <c r="D293" i="148" s="1"/>
  <c r="D295" i="148" s="1"/>
  <c r="D299" i="148" s="1"/>
  <c r="D303" i="148" s="1"/>
  <c r="D305" i="148" s="1"/>
  <c r="D308" i="148" s="1"/>
  <c r="D312" i="148" s="1"/>
  <c r="D313" i="148" s="1"/>
  <c r="D314" i="148" s="1"/>
  <c r="D316" i="148" s="1"/>
  <c r="F151" i="148"/>
  <c r="AH151" i="148"/>
  <c r="F152" i="148"/>
  <c r="AH152" i="148"/>
  <c r="F153" i="148"/>
  <c r="AH153" i="148"/>
  <c r="F154" i="148"/>
  <c r="AH154" i="148"/>
  <c r="F155" i="148"/>
  <c r="AH155" i="148"/>
  <c r="F156" i="148"/>
  <c r="AH156" i="148"/>
  <c r="AH157" i="148"/>
  <c r="F158" i="148"/>
  <c r="F157" i="148" s="1"/>
  <c r="AH158" i="148"/>
  <c r="AH159" i="148"/>
  <c r="AH160" i="148"/>
  <c r="F161" i="148"/>
  <c r="AH161" i="148"/>
  <c r="F162" i="148"/>
  <c r="AH162" i="148"/>
  <c r="AH163" i="148"/>
  <c r="F164" i="148"/>
  <c r="AH164" i="148"/>
  <c r="F165" i="148"/>
  <c r="AH165" i="148"/>
  <c r="AH166" i="148"/>
  <c r="F167" i="148"/>
  <c r="F166" i="148" s="1"/>
  <c r="AH167" i="148"/>
  <c r="AH168" i="148"/>
  <c r="F169" i="148"/>
  <c r="AH169" i="148"/>
  <c r="F170" i="148"/>
  <c r="AH170" i="148"/>
  <c r="AH171" i="148"/>
  <c r="AH172" i="148"/>
  <c r="F173" i="148"/>
  <c r="AH173" i="148"/>
  <c r="F174" i="148"/>
  <c r="AH174" i="148"/>
  <c r="AH175" i="148"/>
  <c r="F176" i="148"/>
  <c r="AH176" i="148"/>
  <c r="F177" i="148"/>
  <c r="AH177" i="148"/>
  <c r="AH178" i="148"/>
  <c r="F179" i="148"/>
  <c r="AH179" i="148"/>
  <c r="AH180" i="148"/>
  <c r="AH181" i="148"/>
  <c r="AH182" i="148"/>
  <c r="F183" i="148"/>
  <c r="AH183" i="148"/>
  <c r="F184" i="148"/>
  <c r="AH184" i="148"/>
  <c r="F185" i="148"/>
  <c r="AH185" i="148"/>
  <c r="F186" i="148"/>
  <c r="AH186" i="148"/>
  <c r="AH187" i="148"/>
  <c r="F188" i="148"/>
  <c r="AH188" i="148"/>
  <c r="F189" i="148"/>
  <c r="AH189" i="148"/>
  <c r="AH190" i="148"/>
  <c r="AH191" i="148"/>
  <c r="F192" i="148"/>
  <c r="AH192" i="148"/>
  <c r="F193" i="148"/>
  <c r="AH193" i="148"/>
  <c r="F194" i="148"/>
  <c r="AH194" i="148"/>
  <c r="F195" i="148"/>
  <c r="AH195" i="148"/>
  <c r="AH196" i="148"/>
  <c r="AH197" i="148"/>
  <c r="F198" i="148"/>
  <c r="AH198" i="148"/>
  <c r="F199" i="148"/>
  <c r="AH199" i="148"/>
  <c r="F200" i="148"/>
  <c r="AH200" i="148"/>
  <c r="F201" i="148"/>
  <c r="AH201" i="148"/>
  <c r="AH202" i="148"/>
  <c r="AH203" i="148"/>
  <c r="F204" i="148"/>
  <c r="AH204" i="148"/>
  <c r="F205" i="148"/>
  <c r="AH205" i="148"/>
  <c r="F206" i="148"/>
  <c r="AH206" i="148"/>
  <c r="F207" i="148"/>
  <c r="AH207" i="148"/>
  <c r="AH208" i="148"/>
  <c r="AH209" i="148"/>
  <c r="F210" i="148"/>
  <c r="AH210" i="148"/>
  <c r="F211" i="148"/>
  <c r="AH211" i="148"/>
  <c r="F212" i="148"/>
  <c r="AH212" i="148"/>
  <c r="AH213" i="148"/>
  <c r="AH214" i="148"/>
  <c r="F215" i="148"/>
  <c r="AH215" i="148"/>
  <c r="F216" i="148"/>
  <c r="AH216" i="148"/>
  <c r="F217" i="148"/>
  <c r="AH217" i="148"/>
  <c r="F218" i="148"/>
  <c r="AH218" i="148"/>
  <c r="F219" i="148"/>
  <c r="AH219" i="148"/>
  <c r="AH220" i="148"/>
  <c r="AH221" i="148"/>
  <c r="AH222" i="148"/>
  <c r="F223" i="148"/>
  <c r="AH223" i="148"/>
  <c r="F224" i="148"/>
  <c r="AH224" i="148"/>
  <c r="F225" i="148"/>
  <c r="AH225" i="148"/>
  <c r="F226" i="148"/>
  <c r="AH226" i="148"/>
  <c r="F227" i="148"/>
  <c r="AH227" i="148"/>
  <c r="F228" i="148"/>
  <c r="AH228" i="148"/>
  <c r="F229" i="148"/>
  <c r="AH229" i="148"/>
  <c r="AH230" i="148"/>
  <c r="AH231" i="148"/>
  <c r="F232" i="148"/>
  <c r="AH232" i="148"/>
  <c r="F233" i="148"/>
  <c r="AH233" i="148"/>
  <c r="AH234" i="148"/>
  <c r="AH235" i="148"/>
  <c r="F236" i="148"/>
  <c r="AH236" i="148"/>
  <c r="F237" i="148"/>
  <c r="AH237" i="148"/>
  <c r="AH238" i="148"/>
  <c r="AH239" i="148"/>
  <c r="AH240" i="148"/>
  <c r="F241" i="148"/>
  <c r="F240" i="148" s="1"/>
  <c r="AH241" i="148"/>
  <c r="AH242" i="148"/>
  <c r="F243" i="148"/>
  <c r="AH243" i="148"/>
  <c r="AH244" i="148"/>
  <c r="AH245" i="148"/>
  <c r="F246" i="148"/>
  <c r="AH246" i="148"/>
  <c r="AH247" i="148"/>
  <c r="F248" i="148"/>
  <c r="AH248" i="148"/>
  <c r="F249" i="148"/>
  <c r="AH249" i="148"/>
  <c r="F250" i="148"/>
  <c r="AH250" i="148"/>
  <c r="AH251" i="148"/>
  <c r="F252" i="148"/>
  <c r="AH252" i="148"/>
  <c r="AH253" i="148"/>
  <c r="AH254" i="148"/>
  <c r="F255" i="148"/>
  <c r="AH255" i="148"/>
  <c r="AH256" i="148"/>
  <c r="F257" i="148"/>
  <c r="AH257" i="148"/>
  <c r="F258" i="148"/>
  <c r="AH258" i="148"/>
  <c r="F259" i="148"/>
  <c r="AH259" i="148"/>
  <c r="AH260" i="148"/>
  <c r="F261" i="148"/>
  <c r="AH261" i="148"/>
  <c r="AH262" i="148"/>
  <c r="AH263" i="148"/>
  <c r="AH264" i="148"/>
  <c r="F265" i="148"/>
  <c r="AH265" i="148"/>
  <c r="F266" i="148"/>
  <c r="AH266" i="148"/>
  <c r="F267" i="148"/>
  <c r="AH267" i="148"/>
  <c r="F268" i="148"/>
  <c r="AH268" i="148"/>
  <c r="F269" i="148"/>
  <c r="AH269" i="148"/>
  <c r="AH270" i="148"/>
  <c r="AH271" i="148"/>
  <c r="AH272" i="148"/>
  <c r="F273" i="148"/>
  <c r="AH273" i="148"/>
  <c r="F274" i="148"/>
  <c r="AH274" i="148"/>
  <c r="F275" i="148"/>
  <c r="AH275" i="148"/>
  <c r="AH276" i="148"/>
  <c r="F277" i="148"/>
  <c r="AH277" i="148"/>
  <c r="F278" i="148"/>
  <c r="AH278" i="148"/>
  <c r="AH279" i="148"/>
  <c r="AH280" i="148"/>
  <c r="F281" i="148"/>
  <c r="AH281" i="148"/>
  <c r="F282" i="148"/>
  <c r="AH282" i="148"/>
  <c r="F283" i="148"/>
  <c r="AH283" i="148"/>
  <c r="AH284" i="148"/>
  <c r="F285" i="148"/>
  <c r="AH285" i="148"/>
  <c r="AH286" i="148"/>
  <c r="AH287" i="148"/>
  <c r="F288" i="148"/>
  <c r="AH288" i="148"/>
  <c r="F289" i="148"/>
  <c r="AH289" i="148"/>
  <c r="AH290" i="148"/>
  <c r="F291" i="148"/>
  <c r="F290" i="148" s="1"/>
  <c r="AH291" i="148"/>
  <c r="AH292" i="148"/>
  <c r="F293" i="148"/>
  <c r="AH293" i="148"/>
  <c r="AH294" i="148"/>
  <c r="F295" i="148"/>
  <c r="F294" i="148" s="1"/>
  <c r="AH295" i="148"/>
  <c r="AH296" i="148"/>
  <c r="AH297" i="148"/>
  <c r="AH298" i="148"/>
  <c r="F299" i="148"/>
  <c r="AH299" i="148"/>
  <c r="AH300" i="148"/>
  <c r="AH301" i="148"/>
  <c r="AH302" i="148"/>
  <c r="F303" i="148"/>
  <c r="F302" i="148" s="1"/>
  <c r="AH303" i="148"/>
  <c r="AH304" i="148"/>
  <c r="F305" i="148"/>
  <c r="AH305" i="148"/>
  <c r="AH306" i="148"/>
  <c r="AH307" i="148"/>
  <c r="F308" i="148"/>
  <c r="AH308" i="148"/>
  <c r="AH309" i="148"/>
  <c r="AH310" i="148"/>
  <c r="AH311" i="148"/>
  <c r="F312" i="148"/>
  <c r="AH312" i="148"/>
  <c r="F313" i="148"/>
  <c r="AH313" i="148"/>
  <c r="F314" i="148"/>
  <c r="AH314" i="148"/>
  <c r="AH315" i="148"/>
  <c r="F316" i="148"/>
  <c r="AH316" i="148"/>
  <c r="F317" i="148"/>
  <c r="AH317" i="148"/>
  <c r="D318" i="148"/>
  <c r="D319" i="148" s="1"/>
  <c r="D320" i="148" s="1"/>
  <c r="D321" i="148" s="1"/>
  <c r="D322" i="148" s="1"/>
  <c r="D325" i="148" s="1"/>
  <c r="D326" i="148" s="1"/>
  <c r="D328" i="148" s="1"/>
  <c r="D331" i="148" s="1"/>
  <c r="F318" i="148"/>
  <c r="AH318" i="148"/>
  <c r="F319" i="148"/>
  <c r="AH319" i="148"/>
  <c r="F320" i="148"/>
  <c r="AH320" i="148"/>
  <c r="F321" i="148"/>
  <c r="AH321" i="148"/>
  <c r="F322" i="148"/>
  <c r="AH322" i="148"/>
  <c r="AH323" i="148"/>
  <c r="AH324" i="148"/>
  <c r="F325" i="148"/>
  <c r="F324" i="148" s="1"/>
  <c r="F323" i="148" s="1"/>
  <c r="AH325" i="148"/>
  <c r="F326" i="148"/>
  <c r="AH326" i="148"/>
  <c r="AH327" i="148"/>
  <c r="F328" i="148"/>
  <c r="F327" i="148" s="1"/>
  <c r="AH328" i="148"/>
  <c r="AH329" i="148"/>
  <c r="AH330" i="148"/>
  <c r="F331" i="148"/>
  <c r="AH331" i="148"/>
  <c r="F334" i="148"/>
  <c r="F335" i="148"/>
  <c r="F350" i="148"/>
  <c r="H350" i="148"/>
  <c r="I350" i="148"/>
  <c r="J350" i="148" s="1"/>
  <c r="K350" i="148" s="1"/>
  <c r="D351" i="148"/>
  <c r="F351" i="148"/>
  <c r="H351" i="148"/>
  <c r="I351" i="148" s="1"/>
  <c r="J351" i="148" s="1"/>
  <c r="K351" i="148" s="1"/>
  <c r="L351" i="148" s="1"/>
  <c r="M351" i="148" s="1"/>
  <c r="N351" i="148" s="1"/>
  <c r="O351" i="148" s="1"/>
  <c r="P351" i="148" s="1"/>
  <c r="Q351" i="148" s="1"/>
  <c r="R351" i="148" s="1"/>
  <c r="S351" i="148" s="1"/>
  <c r="T351" i="148" s="1"/>
  <c r="U351" i="148" s="1"/>
  <c r="V351" i="148" s="1"/>
  <c r="W351" i="148" s="1"/>
  <c r="X351" i="148" s="1"/>
  <c r="Y351" i="148" s="1"/>
  <c r="Z351" i="148" s="1"/>
  <c r="AA351" i="148" s="1"/>
  <c r="AB351" i="148" s="1"/>
  <c r="AC351" i="148" s="1"/>
  <c r="AD351" i="148" s="1"/>
  <c r="AE351" i="148" s="1"/>
  <c r="AF351" i="148" s="1"/>
  <c r="D352" i="148"/>
  <c r="D353" i="148" s="1"/>
  <c r="D354" i="148" s="1"/>
  <c r="D355" i="148" s="1"/>
  <c r="D356" i="148" s="1"/>
  <c r="D357" i="148" s="1"/>
  <c r="D358" i="148" s="1"/>
  <c r="D359" i="148" s="1"/>
  <c r="D361" i="148" s="1"/>
  <c r="D362" i="148" s="1"/>
  <c r="F352" i="148"/>
  <c r="H352" i="148"/>
  <c r="I352" i="148" s="1"/>
  <c r="J352" i="148" s="1"/>
  <c r="K352" i="148" s="1"/>
  <c r="L352" i="148" s="1"/>
  <c r="M352" i="148" s="1"/>
  <c r="N352" i="148" s="1"/>
  <c r="O352" i="148" s="1"/>
  <c r="P352" i="148" s="1"/>
  <c r="Q352" i="148" s="1"/>
  <c r="R352" i="148" s="1"/>
  <c r="S352" i="148" s="1"/>
  <c r="T352" i="148" s="1"/>
  <c r="U352" i="148" s="1"/>
  <c r="V352" i="148" s="1"/>
  <c r="W352" i="148" s="1"/>
  <c r="X352" i="148" s="1"/>
  <c r="Y352" i="148" s="1"/>
  <c r="Z352" i="148" s="1"/>
  <c r="AA352" i="148" s="1"/>
  <c r="AB352" i="148" s="1"/>
  <c r="AC352" i="148" s="1"/>
  <c r="AD352" i="148" s="1"/>
  <c r="AE352" i="148" s="1"/>
  <c r="AF352" i="148" s="1"/>
  <c r="F353" i="148"/>
  <c r="H353" i="148"/>
  <c r="I353" i="148"/>
  <c r="J353" i="148" s="1"/>
  <c r="K353" i="148" s="1"/>
  <c r="L353" i="148" s="1"/>
  <c r="M353" i="148" s="1"/>
  <c r="N353" i="148" s="1"/>
  <c r="O353" i="148" s="1"/>
  <c r="P353" i="148" s="1"/>
  <c r="Q353" i="148" s="1"/>
  <c r="R353" i="148" s="1"/>
  <c r="S353" i="148" s="1"/>
  <c r="T353" i="148" s="1"/>
  <c r="U353" i="148" s="1"/>
  <c r="V353" i="148" s="1"/>
  <c r="W353" i="148" s="1"/>
  <c r="X353" i="148" s="1"/>
  <c r="Y353" i="148" s="1"/>
  <c r="Z353" i="148" s="1"/>
  <c r="AA353" i="148" s="1"/>
  <c r="AB353" i="148" s="1"/>
  <c r="AC353" i="148" s="1"/>
  <c r="AD353" i="148" s="1"/>
  <c r="AE353" i="148" s="1"/>
  <c r="AF353" i="148" s="1"/>
  <c r="F354" i="148"/>
  <c r="H354" i="148"/>
  <c r="I354" i="148" s="1"/>
  <c r="J354" i="148" s="1"/>
  <c r="K354" i="148" s="1"/>
  <c r="L354" i="148" s="1"/>
  <c r="M354" i="148" s="1"/>
  <c r="N354" i="148" s="1"/>
  <c r="O354" i="148" s="1"/>
  <c r="P354" i="148" s="1"/>
  <c r="Q354" i="148" s="1"/>
  <c r="R354" i="148" s="1"/>
  <c r="S354" i="148" s="1"/>
  <c r="T354" i="148" s="1"/>
  <c r="U354" i="148" s="1"/>
  <c r="V354" i="148" s="1"/>
  <c r="W354" i="148" s="1"/>
  <c r="X354" i="148" s="1"/>
  <c r="Y354" i="148" s="1"/>
  <c r="Z354" i="148" s="1"/>
  <c r="AA354" i="148" s="1"/>
  <c r="AB354" i="148" s="1"/>
  <c r="AC354" i="148" s="1"/>
  <c r="AD354" i="148" s="1"/>
  <c r="AE354" i="148" s="1"/>
  <c r="AF354" i="148" s="1"/>
  <c r="F355" i="148"/>
  <c r="H355" i="148"/>
  <c r="I355" i="148" s="1"/>
  <c r="J355" i="148" s="1"/>
  <c r="K355" i="148" s="1"/>
  <c r="L355" i="148" s="1"/>
  <c r="M355" i="148" s="1"/>
  <c r="N355" i="148" s="1"/>
  <c r="O355" i="148" s="1"/>
  <c r="P355" i="148" s="1"/>
  <c r="Q355" i="148" s="1"/>
  <c r="R355" i="148" s="1"/>
  <c r="S355" i="148" s="1"/>
  <c r="T355" i="148" s="1"/>
  <c r="U355" i="148" s="1"/>
  <c r="V355" i="148" s="1"/>
  <c r="W355" i="148" s="1"/>
  <c r="X355" i="148" s="1"/>
  <c r="Y355" i="148" s="1"/>
  <c r="Z355" i="148" s="1"/>
  <c r="AA355" i="148" s="1"/>
  <c r="AB355" i="148" s="1"/>
  <c r="AC355" i="148" s="1"/>
  <c r="AD355" i="148" s="1"/>
  <c r="AE355" i="148" s="1"/>
  <c r="AF355" i="148" s="1"/>
  <c r="F356" i="148"/>
  <c r="H356" i="148"/>
  <c r="I356" i="148" s="1"/>
  <c r="J356" i="148" s="1"/>
  <c r="K356" i="148" s="1"/>
  <c r="L356" i="148" s="1"/>
  <c r="M356" i="148" s="1"/>
  <c r="N356" i="148" s="1"/>
  <c r="O356" i="148" s="1"/>
  <c r="P356" i="148" s="1"/>
  <c r="Q356" i="148" s="1"/>
  <c r="R356" i="148" s="1"/>
  <c r="S356" i="148" s="1"/>
  <c r="T356" i="148" s="1"/>
  <c r="U356" i="148" s="1"/>
  <c r="V356" i="148" s="1"/>
  <c r="W356" i="148" s="1"/>
  <c r="X356" i="148" s="1"/>
  <c r="Y356" i="148" s="1"/>
  <c r="Z356" i="148" s="1"/>
  <c r="AA356" i="148" s="1"/>
  <c r="AB356" i="148" s="1"/>
  <c r="AC356" i="148" s="1"/>
  <c r="AD356" i="148" s="1"/>
  <c r="AE356" i="148" s="1"/>
  <c r="AF356" i="148" s="1"/>
  <c r="F357" i="148"/>
  <c r="H357" i="148"/>
  <c r="I357" i="148"/>
  <c r="J357" i="148" s="1"/>
  <c r="K357" i="148" s="1"/>
  <c r="L357" i="148" s="1"/>
  <c r="M357" i="148" s="1"/>
  <c r="N357" i="148" s="1"/>
  <c r="O357" i="148" s="1"/>
  <c r="P357" i="148" s="1"/>
  <c r="Q357" i="148" s="1"/>
  <c r="R357" i="148" s="1"/>
  <c r="S357" i="148" s="1"/>
  <c r="T357" i="148" s="1"/>
  <c r="U357" i="148" s="1"/>
  <c r="V357" i="148" s="1"/>
  <c r="W357" i="148" s="1"/>
  <c r="X357" i="148" s="1"/>
  <c r="Y357" i="148" s="1"/>
  <c r="Z357" i="148" s="1"/>
  <c r="AA357" i="148" s="1"/>
  <c r="AB357" i="148" s="1"/>
  <c r="AC357" i="148" s="1"/>
  <c r="AD357" i="148" s="1"/>
  <c r="AE357" i="148" s="1"/>
  <c r="AF357" i="148" s="1"/>
  <c r="F358" i="148"/>
  <c r="H358" i="148"/>
  <c r="I358" i="148" s="1"/>
  <c r="J358" i="148" s="1"/>
  <c r="K358" i="148" s="1"/>
  <c r="L358" i="148" s="1"/>
  <c r="M358" i="148" s="1"/>
  <c r="N358" i="148" s="1"/>
  <c r="O358" i="148" s="1"/>
  <c r="P358" i="148" s="1"/>
  <c r="Q358" i="148" s="1"/>
  <c r="R358" i="148" s="1"/>
  <c r="S358" i="148" s="1"/>
  <c r="T358" i="148" s="1"/>
  <c r="U358" i="148" s="1"/>
  <c r="V358" i="148" s="1"/>
  <c r="W358" i="148" s="1"/>
  <c r="X358" i="148" s="1"/>
  <c r="Y358" i="148" s="1"/>
  <c r="Z358" i="148" s="1"/>
  <c r="AA358" i="148" s="1"/>
  <c r="AB358" i="148" s="1"/>
  <c r="AC358" i="148" s="1"/>
  <c r="AD358" i="148" s="1"/>
  <c r="AE358" i="148" s="1"/>
  <c r="AF358" i="148" s="1"/>
  <c r="F359" i="148"/>
  <c r="H359" i="148"/>
  <c r="I359" i="148" s="1"/>
  <c r="J359" i="148" s="1"/>
  <c r="K359" i="148" s="1"/>
  <c r="L359" i="148" s="1"/>
  <c r="M359" i="148" s="1"/>
  <c r="N359" i="148" s="1"/>
  <c r="O359" i="148" s="1"/>
  <c r="P359" i="148" s="1"/>
  <c r="Q359" i="148" s="1"/>
  <c r="R359" i="148" s="1"/>
  <c r="S359" i="148" s="1"/>
  <c r="T359" i="148" s="1"/>
  <c r="U359" i="148" s="1"/>
  <c r="V359" i="148" s="1"/>
  <c r="W359" i="148" s="1"/>
  <c r="X359" i="148" s="1"/>
  <c r="Y359" i="148" s="1"/>
  <c r="Z359" i="148" s="1"/>
  <c r="AA359" i="148" s="1"/>
  <c r="AB359" i="148" s="1"/>
  <c r="AC359" i="148" s="1"/>
  <c r="AD359" i="148" s="1"/>
  <c r="AE359" i="148" s="1"/>
  <c r="AF359" i="148" s="1"/>
  <c r="F361" i="148"/>
  <c r="H361" i="148"/>
  <c r="I361" i="148" s="1"/>
  <c r="J361" i="148" s="1"/>
  <c r="K361" i="148" s="1"/>
  <c r="L361" i="148" s="1"/>
  <c r="M361" i="148" s="1"/>
  <c r="F362" i="148"/>
  <c r="H362" i="148"/>
  <c r="I362" i="148" s="1"/>
  <c r="J362" i="148" s="1"/>
  <c r="K362" i="148" s="1"/>
  <c r="L362" i="148" s="1"/>
  <c r="M362" i="148" s="1"/>
  <c r="N362" i="148" s="1"/>
  <c r="O362" i="148" s="1"/>
  <c r="P362" i="148" s="1"/>
  <c r="Q362" i="148" s="1"/>
  <c r="R362" i="148" s="1"/>
  <c r="S362" i="148" s="1"/>
  <c r="T362" i="148" s="1"/>
  <c r="U362" i="148" s="1"/>
  <c r="V362" i="148" s="1"/>
  <c r="W362" i="148" s="1"/>
  <c r="X362" i="148" s="1"/>
  <c r="Y362" i="148" s="1"/>
  <c r="Z362" i="148" s="1"/>
  <c r="AA362" i="148" s="1"/>
  <c r="AB362" i="148" s="1"/>
  <c r="AC362" i="148" s="1"/>
  <c r="AD362" i="148" s="1"/>
  <c r="AE362" i="148" s="1"/>
  <c r="AF362" i="148" s="1"/>
  <c r="F363" i="148"/>
  <c r="H363" i="148"/>
  <c r="I363" i="148"/>
  <c r="J363" i="148" s="1"/>
  <c r="K363" i="148" s="1"/>
  <c r="L363" i="148" s="1"/>
  <c r="M363" i="148" s="1"/>
  <c r="N363" i="148" s="1"/>
  <c r="O363" i="148" s="1"/>
  <c r="P363" i="148" s="1"/>
  <c r="Q363" i="148" s="1"/>
  <c r="R363" i="148" s="1"/>
  <c r="S363" i="148" s="1"/>
  <c r="T363" i="148" s="1"/>
  <c r="U363" i="148" s="1"/>
  <c r="V363" i="148" s="1"/>
  <c r="W363" i="148" s="1"/>
  <c r="X363" i="148" s="1"/>
  <c r="Y363" i="148" s="1"/>
  <c r="Z363" i="148" s="1"/>
  <c r="AA363" i="148" s="1"/>
  <c r="AB363" i="148" s="1"/>
  <c r="AC363" i="148" s="1"/>
  <c r="AD363" i="148" s="1"/>
  <c r="AE363" i="148" s="1"/>
  <c r="AF363" i="148" s="1"/>
  <c r="D364" i="148"/>
  <c r="F364" i="148"/>
  <c r="H364" i="148"/>
  <c r="I364" i="148"/>
  <c r="J364" i="148" s="1"/>
  <c r="K364" i="148" s="1"/>
  <c r="L364" i="148" s="1"/>
  <c r="M364" i="148" s="1"/>
  <c r="N364" i="148" s="1"/>
  <c r="O364" i="148" s="1"/>
  <c r="P364" i="148" s="1"/>
  <c r="Q364" i="148" s="1"/>
  <c r="R364" i="148" s="1"/>
  <c r="S364" i="148" s="1"/>
  <c r="T364" i="148" s="1"/>
  <c r="U364" i="148" s="1"/>
  <c r="V364" i="148" s="1"/>
  <c r="W364" i="148" s="1"/>
  <c r="X364" i="148" s="1"/>
  <c r="Y364" i="148" s="1"/>
  <c r="Z364" i="148" s="1"/>
  <c r="AA364" i="148" s="1"/>
  <c r="AB364" i="148" s="1"/>
  <c r="AC364" i="148" s="1"/>
  <c r="AD364" i="148" s="1"/>
  <c r="AE364" i="148" s="1"/>
  <c r="AF364" i="148" s="1"/>
  <c r="D365" i="148"/>
  <c r="F365" i="148"/>
  <c r="H365" i="148"/>
  <c r="I365" i="148" s="1"/>
  <c r="J365" i="148" s="1"/>
  <c r="K365" i="148" s="1"/>
  <c r="L365" i="148" s="1"/>
  <c r="M365" i="148" s="1"/>
  <c r="N365" i="148" s="1"/>
  <c r="O365" i="148" s="1"/>
  <c r="P365" i="148" s="1"/>
  <c r="Q365" i="148" s="1"/>
  <c r="R365" i="148" s="1"/>
  <c r="S365" i="148" s="1"/>
  <c r="T365" i="148" s="1"/>
  <c r="U365" i="148" s="1"/>
  <c r="V365" i="148" s="1"/>
  <c r="W365" i="148" s="1"/>
  <c r="X365" i="148" s="1"/>
  <c r="Y365" i="148" s="1"/>
  <c r="Z365" i="148" s="1"/>
  <c r="AA365" i="148" s="1"/>
  <c r="AB365" i="148" s="1"/>
  <c r="AC365" i="148" s="1"/>
  <c r="AD365" i="148" s="1"/>
  <c r="AE365" i="148" s="1"/>
  <c r="AF365" i="148" s="1"/>
  <c r="D366" i="148"/>
  <c r="F366" i="148"/>
  <c r="H366" i="148"/>
  <c r="I366" i="148" s="1"/>
  <c r="J366" i="148" s="1"/>
  <c r="K366" i="148" s="1"/>
  <c r="L366" i="148" s="1"/>
  <c r="M366" i="148" s="1"/>
  <c r="N366" i="148" s="1"/>
  <c r="O366" i="148" s="1"/>
  <c r="P366" i="148" s="1"/>
  <c r="Q366" i="148" s="1"/>
  <c r="R366" i="148" s="1"/>
  <c r="S366" i="148" s="1"/>
  <c r="T366" i="148" s="1"/>
  <c r="U366" i="148" s="1"/>
  <c r="V366" i="148" s="1"/>
  <c r="W366" i="148" s="1"/>
  <c r="X366" i="148" s="1"/>
  <c r="Y366" i="148" s="1"/>
  <c r="Z366" i="148" s="1"/>
  <c r="AA366" i="148" s="1"/>
  <c r="AB366" i="148" s="1"/>
  <c r="AC366" i="148" s="1"/>
  <c r="AD366" i="148" s="1"/>
  <c r="AE366" i="148" s="1"/>
  <c r="AF366" i="148" s="1"/>
  <c r="D367" i="148"/>
  <c r="F367" i="148"/>
  <c r="H367" i="148"/>
  <c r="I367" i="148" s="1"/>
  <c r="J367" i="148" s="1"/>
  <c r="K367" i="148" s="1"/>
  <c r="L367" i="148" s="1"/>
  <c r="M367" i="148" s="1"/>
  <c r="N367" i="148" s="1"/>
  <c r="O367" i="148" s="1"/>
  <c r="P367" i="148" s="1"/>
  <c r="Q367" i="148" s="1"/>
  <c r="R367" i="148" s="1"/>
  <c r="S367" i="148" s="1"/>
  <c r="T367" i="148" s="1"/>
  <c r="U367" i="148" s="1"/>
  <c r="V367" i="148" s="1"/>
  <c r="W367" i="148" s="1"/>
  <c r="X367" i="148" s="1"/>
  <c r="Y367" i="148" s="1"/>
  <c r="Z367" i="148" s="1"/>
  <c r="AA367" i="148" s="1"/>
  <c r="AB367" i="148" s="1"/>
  <c r="AC367" i="148" s="1"/>
  <c r="AD367" i="148" s="1"/>
  <c r="AE367" i="148" s="1"/>
  <c r="AF367" i="148" s="1"/>
  <c r="F368" i="148"/>
  <c r="H368" i="148"/>
  <c r="I368" i="148" s="1"/>
  <c r="J368" i="148" s="1"/>
  <c r="K368" i="148" s="1"/>
  <c r="L368" i="148" s="1"/>
  <c r="M368" i="148" s="1"/>
  <c r="N368" i="148" s="1"/>
  <c r="O368" i="148" s="1"/>
  <c r="P368" i="148" s="1"/>
  <c r="Q368" i="148" s="1"/>
  <c r="R368" i="148" s="1"/>
  <c r="S368" i="148" s="1"/>
  <c r="T368" i="148" s="1"/>
  <c r="U368" i="148" s="1"/>
  <c r="V368" i="148" s="1"/>
  <c r="W368" i="148" s="1"/>
  <c r="X368" i="148" s="1"/>
  <c r="Y368" i="148" s="1"/>
  <c r="Z368" i="148" s="1"/>
  <c r="AA368" i="148" s="1"/>
  <c r="AB368" i="148" s="1"/>
  <c r="AC368" i="148" s="1"/>
  <c r="AD368" i="148" s="1"/>
  <c r="AE368" i="148" s="1"/>
  <c r="AF368" i="148" s="1"/>
  <c r="F369" i="148"/>
  <c r="H369" i="148"/>
  <c r="I369" i="148"/>
  <c r="J369" i="148" s="1"/>
  <c r="K369" i="148" s="1"/>
  <c r="L369" i="148" s="1"/>
  <c r="M369" i="148" s="1"/>
  <c r="N369" i="148" s="1"/>
  <c r="O369" i="148" s="1"/>
  <c r="P369" i="148" s="1"/>
  <c r="Q369" i="148" s="1"/>
  <c r="R369" i="148" s="1"/>
  <c r="S369" i="148" s="1"/>
  <c r="T369" i="148" s="1"/>
  <c r="U369" i="148" s="1"/>
  <c r="V369" i="148" s="1"/>
  <c r="W369" i="148" s="1"/>
  <c r="X369" i="148" s="1"/>
  <c r="Y369" i="148" s="1"/>
  <c r="Z369" i="148" s="1"/>
  <c r="AA369" i="148" s="1"/>
  <c r="AB369" i="148" s="1"/>
  <c r="AC369" i="148" s="1"/>
  <c r="AD369" i="148" s="1"/>
  <c r="AE369" i="148" s="1"/>
  <c r="AF369" i="148" s="1"/>
  <c r="F371" i="148"/>
  <c r="H371" i="148"/>
  <c r="I371" i="148" s="1"/>
  <c r="D372" i="148"/>
  <c r="D373" i="148" s="1"/>
  <c r="D374" i="148" s="1"/>
  <c r="F372" i="148"/>
  <c r="H372" i="148"/>
  <c r="I372" i="148" s="1"/>
  <c r="J372" i="148" s="1"/>
  <c r="K372" i="148" s="1"/>
  <c r="L372" i="148" s="1"/>
  <c r="M372" i="148" s="1"/>
  <c r="N372" i="148" s="1"/>
  <c r="O372" i="148" s="1"/>
  <c r="P372" i="148" s="1"/>
  <c r="Q372" i="148" s="1"/>
  <c r="R372" i="148" s="1"/>
  <c r="S372" i="148" s="1"/>
  <c r="T372" i="148" s="1"/>
  <c r="U372" i="148" s="1"/>
  <c r="V372" i="148" s="1"/>
  <c r="W372" i="148" s="1"/>
  <c r="X372" i="148" s="1"/>
  <c r="Y372" i="148" s="1"/>
  <c r="Z372" i="148" s="1"/>
  <c r="AA372" i="148" s="1"/>
  <c r="AB372" i="148" s="1"/>
  <c r="AC372" i="148" s="1"/>
  <c r="AD372" i="148" s="1"/>
  <c r="AE372" i="148" s="1"/>
  <c r="AF372" i="148" s="1"/>
  <c r="F373" i="148"/>
  <c r="H373" i="148"/>
  <c r="I373" i="148" s="1"/>
  <c r="J373" i="148" s="1"/>
  <c r="K373" i="148" s="1"/>
  <c r="L373" i="148" s="1"/>
  <c r="M373" i="148" s="1"/>
  <c r="N373" i="148" s="1"/>
  <c r="O373" i="148" s="1"/>
  <c r="P373" i="148" s="1"/>
  <c r="Q373" i="148" s="1"/>
  <c r="R373" i="148" s="1"/>
  <c r="S373" i="148" s="1"/>
  <c r="T373" i="148" s="1"/>
  <c r="U373" i="148" s="1"/>
  <c r="V373" i="148" s="1"/>
  <c r="W373" i="148" s="1"/>
  <c r="X373" i="148" s="1"/>
  <c r="Y373" i="148" s="1"/>
  <c r="Z373" i="148" s="1"/>
  <c r="AA373" i="148" s="1"/>
  <c r="AB373" i="148" s="1"/>
  <c r="AC373" i="148" s="1"/>
  <c r="AD373" i="148" s="1"/>
  <c r="AE373" i="148" s="1"/>
  <c r="AF373" i="148" s="1"/>
  <c r="F374" i="148"/>
  <c r="H374" i="148"/>
  <c r="I374" i="148" s="1"/>
  <c r="J374" i="148" s="1"/>
  <c r="K374" i="148" s="1"/>
  <c r="L374" i="148" s="1"/>
  <c r="M374" i="148" s="1"/>
  <c r="N374" i="148" s="1"/>
  <c r="O374" i="148" s="1"/>
  <c r="P374" i="148" s="1"/>
  <c r="Q374" i="148" s="1"/>
  <c r="R374" i="148" s="1"/>
  <c r="S374" i="148" s="1"/>
  <c r="T374" i="148" s="1"/>
  <c r="U374" i="148" s="1"/>
  <c r="V374" i="148" s="1"/>
  <c r="W374" i="148" s="1"/>
  <c r="X374" i="148" s="1"/>
  <c r="Y374" i="148" s="1"/>
  <c r="Z374" i="148" s="1"/>
  <c r="AA374" i="148" s="1"/>
  <c r="AB374" i="148" s="1"/>
  <c r="AC374" i="148" s="1"/>
  <c r="AD374" i="148" s="1"/>
  <c r="AE374" i="148" s="1"/>
  <c r="AF374" i="148" s="1"/>
  <c r="F375" i="148"/>
  <c r="H375" i="148"/>
  <c r="I375" i="148"/>
  <c r="J375" i="148" s="1"/>
  <c r="K375" i="148" s="1"/>
  <c r="L375" i="148" s="1"/>
  <c r="M375" i="148" s="1"/>
  <c r="N375" i="148" s="1"/>
  <c r="O375" i="148" s="1"/>
  <c r="P375" i="148" s="1"/>
  <c r="Q375" i="148" s="1"/>
  <c r="R375" i="148" s="1"/>
  <c r="S375" i="148" s="1"/>
  <c r="T375" i="148" s="1"/>
  <c r="U375" i="148" s="1"/>
  <c r="V375" i="148" s="1"/>
  <c r="W375" i="148" s="1"/>
  <c r="X375" i="148" s="1"/>
  <c r="Y375" i="148" s="1"/>
  <c r="Z375" i="148" s="1"/>
  <c r="AA375" i="148" s="1"/>
  <c r="AB375" i="148" s="1"/>
  <c r="AC375" i="148" s="1"/>
  <c r="AD375" i="148" s="1"/>
  <c r="AE375" i="148" s="1"/>
  <c r="AF375" i="148" s="1"/>
  <c r="D376" i="148"/>
  <c r="F376" i="148"/>
  <c r="H376" i="148"/>
  <c r="I376" i="148"/>
  <c r="J376" i="148" s="1"/>
  <c r="K376" i="148" s="1"/>
  <c r="L376" i="148" s="1"/>
  <c r="M376" i="148" s="1"/>
  <c r="N376" i="148" s="1"/>
  <c r="O376" i="148" s="1"/>
  <c r="P376" i="148" s="1"/>
  <c r="Q376" i="148" s="1"/>
  <c r="R376" i="148" s="1"/>
  <c r="S376" i="148" s="1"/>
  <c r="T376" i="148" s="1"/>
  <c r="U376" i="148" s="1"/>
  <c r="V376" i="148" s="1"/>
  <c r="W376" i="148" s="1"/>
  <c r="X376" i="148" s="1"/>
  <c r="Y376" i="148" s="1"/>
  <c r="Z376" i="148" s="1"/>
  <c r="AA376" i="148" s="1"/>
  <c r="AB376" i="148" s="1"/>
  <c r="AC376" i="148" s="1"/>
  <c r="AD376" i="148" s="1"/>
  <c r="AE376" i="148" s="1"/>
  <c r="AF376" i="148" s="1"/>
  <c r="D378" i="148"/>
  <c r="F378" i="148"/>
  <c r="H378" i="148"/>
  <c r="I378" i="148"/>
  <c r="J378" i="148" s="1"/>
  <c r="K378" i="148" s="1"/>
  <c r="L378" i="148" s="1"/>
  <c r="M378" i="148"/>
  <c r="N378" i="148" s="1"/>
  <c r="O378" i="148" s="1"/>
  <c r="P378" i="148" s="1"/>
  <c r="Q378" i="148" s="1"/>
  <c r="R378" i="148" s="1"/>
  <c r="S378" i="148" s="1"/>
  <c r="T378" i="148" s="1"/>
  <c r="U378" i="148" s="1"/>
  <c r="V378" i="148" s="1"/>
  <c r="W378" i="148" s="1"/>
  <c r="X378" i="148" s="1"/>
  <c r="Y378" i="148" s="1"/>
  <c r="Z378" i="148" s="1"/>
  <c r="AA378" i="148" s="1"/>
  <c r="AB378" i="148" s="1"/>
  <c r="AC378" i="148" s="1"/>
  <c r="AD378" i="148" s="1"/>
  <c r="AE378" i="148" s="1"/>
  <c r="AF378" i="148" s="1"/>
  <c r="D379" i="148"/>
  <c r="D380" i="148" s="1"/>
  <c r="D381" i="148" s="1"/>
  <c r="D383" i="148" s="1"/>
  <c r="D384" i="148" s="1"/>
  <c r="D385" i="148" s="1"/>
  <c r="F379" i="148"/>
  <c r="H379" i="148"/>
  <c r="I379" i="148" s="1"/>
  <c r="J379" i="148"/>
  <c r="K379" i="148" s="1"/>
  <c r="L379" i="148" s="1"/>
  <c r="M379" i="148" s="1"/>
  <c r="N379" i="148" s="1"/>
  <c r="O379" i="148" s="1"/>
  <c r="P379" i="148" s="1"/>
  <c r="Q379" i="148" s="1"/>
  <c r="R379" i="148" s="1"/>
  <c r="S379" i="148" s="1"/>
  <c r="T379" i="148" s="1"/>
  <c r="U379" i="148" s="1"/>
  <c r="V379" i="148" s="1"/>
  <c r="W379" i="148" s="1"/>
  <c r="X379" i="148" s="1"/>
  <c r="Y379" i="148" s="1"/>
  <c r="Z379" i="148" s="1"/>
  <c r="AA379" i="148" s="1"/>
  <c r="AB379" i="148" s="1"/>
  <c r="AC379" i="148" s="1"/>
  <c r="AD379" i="148" s="1"/>
  <c r="AE379" i="148" s="1"/>
  <c r="AF379" i="148" s="1"/>
  <c r="F380" i="148"/>
  <c r="H380" i="148"/>
  <c r="I380" i="148"/>
  <c r="J380" i="148" s="1"/>
  <c r="K380" i="148" s="1"/>
  <c r="L380" i="148" s="1"/>
  <c r="M380" i="148" s="1"/>
  <c r="N380" i="148" s="1"/>
  <c r="O380" i="148" s="1"/>
  <c r="P380" i="148" s="1"/>
  <c r="Q380" i="148" s="1"/>
  <c r="R380" i="148" s="1"/>
  <c r="S380" i="148" s="1"/>
  <c r="T380" i="148" s="1"/>
  <c r="U380" i="148" s="1"/>
  <c r="V380" i="148" s="1"/>
  <c r="W380" i="148" s="1"/>
  <c r="X380" i="148" s="1"/>
  <c r="Y380" i="148" s="1"/>
  <c r="Z380" i="148" s="1"/>
  <c r="AA380" i="148" s="1"/>
  <c r="AB380" i="148" s="1"/>
  <c r="AC380" i="148" s="1"/>
  <c r="AD380" i="148" s="1"/>
  <c r="AE380" i="148" s="1"/>
  <c r="AF380" i="148" s="1"/>
  <c r="F381" i="148"/>
  <c r="H381" i="148"/>
  <c r="I381" i="148" s="1"/>
  <c r="J381" i="148" s="1"/>
  <c r="K381" i="148" s="1"/>
  <c r="L381" i="148" s="1"/>
  <c r="M381" i="148" s="1"/>
  <c r="N381" i="148" s="1"/>
  <c r="O381" i="148" s="1"/>
  <c r="P381" i="148" s="1"/>
  <c r="Q381" i="148" s="1"/>
  <c r="R381" i="148" s="1"/>
  <c r="S381" i="148" s="1"/>
  <c r="T381" i="148" s="1"/>
  <c r="U381" i="148" s="1"/>
  <c r="V381" i="148" s="1"/>
  <c r="W381" i="148" s="1"/>
  <c r="X381" i="148" s="1"/>
  <c r="Y381" i="148" s="1"/>
  <c r="Z381" i="148" s="1"/>
  <c r="AA381" i="148" s="1"/>
  <c r="AB381" i="148" s="1"/>
  <c r="AC381" i="148" s="1"/>
  <c r="AD381" i="148" s="1"/>
  <c r="AE381" i="148" s="1"/>
  <c r="AF381" i="148" s="1"/>
  <c r="F383" i="148"/>
  <c r="H383" i="148"/>
  <c r="F384" i="148"/>
  <c r="H384" i="148"/>
  <c r="I384" i="148" s="1"/>
  <c r="J384" i="148" s="1"/>
  <c r="K384" i="148" s="1"/>
  <c r="L384" i="148" s="1"/>
  <c r="M384" i="148" s="1"/>
  <c r="N384" i="148" s="1"/>
  <c r="O384" i="148" s="1"/>
  <c r="P384" i="148" s="1"/>
  <c r="Q384" i="148" s="1"/>
  <c r="R384" i="148" s="1"/>
  <c r="S384" i="148" s="1"/>
  <c r="T384" i="148" s="1"/>
  <c r="U384" i="148" s="1"/>
  <c r="V384" i="148" s="1"/>
  <c r="W384" i="148" s="1"/>
  <c r="X384" i="148" s="1"/>
  <c r="Y384" i="148" s="1"/>
  <c r="Z384" i="148" s="1"/>
  <c r="AA384" i="148" s="1"/>
  <c r="AB384" i="148" s="1"/>
  <c r="AC384" i="148" s="1"/>
  <c r="AD384" i="148" s="1"/>
  <c r="AE384" i="148" s="1"/>
  <c r="AF384" i="148" s="1"/>
  <c r="F385" i="148"/>
  <c r="H385" i="148"/>
  <c r="I385" i="148" s="1"/>
  <c r="J385" i="148" s="1"/>
  <c r="K385" i="148" s="1"/>
  <c r="L385" i="148" s="1"/>
  <c r="M385" i="148" s="1"/>
  <c r="N385" i="148" s="1"/>
  <c r="O385" i="148" s="1"/>
  <c r="P385" i="148" s="1"/>
  <c r="Q385" i="148" s="1"/>
  <c r="R385" i="148" s="1"/>
  <c r="S385" i="148" s="1"/>
  <c r="T385" i="148" s="1"/>
  <c r="U385" i="148" s="1"/>
  <c r="V385" i="148" s="1"/>
  <c r="W385" i="148" s="1"/>
  <c r="X385" i="148" s="1"/>
  <c r="Y385" i="148" s="1"/>
  <c r="Z385" i="148" s="1"/>
  <c r="AA385" i="148" s="1"/>
  <c r="AB385" i="148" s="1"/>
  <c r="AC385" i="148" s="1"/>
  <c r="AD385" i="148" s="1"/>
  <c r="AE385" i="148" s="1"/>
  <c r="AF385" i="148" s="1"/>
  <c r="F386" i="148"/>
  <c r="H386" i="148"/>
  <c r="I386" i="148"/>
  <c r="J386" i="148" s="1"/>
  <c r="K386" i="148" s="1"/>
  <c r="L386" i="148" s="1"/>
  <c r="M386" i="148" s="1"/>
  <c r="N386" i="148" s="1"/>
  <c r="O386" i="148" s="1"/>
  <c r="P386" i="148" s="1"/>
  <c r="Q386" i="148" s="1"/>
  <c r="R386" i="148" s="1"/>
  <c r="S386" i="148" s="1"/>
  <c r="T386" i="148" s="1"/>
  <c r="U386" i="148" s="1"/>
  <c r="V386" i="148" s="1"/>
  <c r="W386" i="148" s="1"/>
  <c r="X386" i="148" s="1"/>
  <c r="Y386" i="148" s="1"/>
  <c r="Z386" i="148" s="1"/>
  <c r="AA386" i="148" s="1"/>
  <c r="AB386" i="148" s="1"/>
  <c r="AC386" i="148" s="1"/>
  <c r="AD386" i="148" s="1"/>
  <c r="AE386" i="148" s="1"/>
  <c r="AF386" i="148" s="1"/>
  <c r="F388" i="148"/>
  <c r="H388" i="148"/>
  <c r="I388" i="148" s="1"/>
  <c r="J388" i="148"/>
  <c r="K388" i="148" s="1"/>
  <c r="L388" i="148" s="1"/>
  <c r="M388" i="148" s="1"/>
  <c r="N388" i="148" s="1"/>
  <c r="O388" i="148" s="1"/>
  <c r="P388" i="148" s="1"/>
  <c r="Q388" i="148" s="1"/>
  <c r="R388" i="148" s="1"/>
  <c r="S388" i="148" s="1"/>
  <c r="T388" i="148" s="1"/>
  <c r="U388" i="148" s="1"/>
  <c r="V388" i="148" s="1"/>
  <c r="W388" i="148" s="1"/>
  <c r="X388" i="148" s="1"/>
  <c r="Y388" i="148" s="1"/>
  <c r="Z388" i="148" s="1"/>
  <c r="AA388" i="148" s="1"/>
  <c r="AB388" i="148" s="1"/>
  <c r="AC388" i="148" s="1"/>
  <c r="AD388" i="148" s="1"/>
  <c r="AE388" i="148" s="1"/>
  <c r="AF388" i="148" s="1"/>
  <c r="D389" i="148"/>
  <c r="F389" i="148"/>
  <c r="H389" i="148"/>
  <c r="I389" i="148"/>
  <c r="J389" i="148" s="1"/>
  <c r="K389" i="148" s="1"/>
  <c r="L389" i="148" s="1"/>
  <c r="M389" i="148" s="1"/>
  <c r="N389" i="148" s="1"/>
  <c r="O389" i="148" s="1"/>
  <c r="P389" i="148" s="1"/>
  <c r="Q389" i="148" s="1"/>
  <c r="R389" i="148" s="1"/>
  <c r="S389" i="148" s="1"/>
  <c r="T389" i="148" s="1"/>
  <c r="U389" i="148" s="1"/>
  <c r="V389" i="148" s="1"/>
  <c r="W389" i="148" s="1"/>
  <c r="X389" i="148" s="1"/>
  <c r="Y389" i="148" s="1"/>
  <c r="Z389" i="148" s="1"/>
  <c r="AA389" i="148" s="1"/>
  <c r="AB389" i="148" s="1"/>
  <c r="AC389" i="148" s="1"/>
  <c r="AD389" i="148" s="1"/>
  <c r="AE389" i="148" s="1"/>
  <c r="AF389" i="148" s="1"/>
  <c r="D390" i="148"/>
  <c r="D391" i="148" s="1"/>
  <c r="D392" i="148" s="1"/>
  <c r="D393" i="148" s="1"/>
  <c r="F390" i="148"/>
  <c r="H390" i="148"/>
  <c r="I390" i="148" s="1"/>
  <c r="J390" i="148" s="1"/>
  <c r="K390" i="148" s="1"/>
  <c r="L390" i="148" s="1"/>
  <c r="M390" i="148" s="1"/>
  <c r="N390" i="148" s="1"/>
  <c r="O390" i="148" s="1"/>
  <c r="P390" i="148" s="1"/>
  <c r="Q390" i="148" s="1"/>
  <c r="R390" i="148" s="1"/>
  <c r="S390" i="148" s="1"/>
  <c r="T390" i="148" s="1"/>
  <c r="U390" i="148" s="1"/>
  <c r="V390" i="148" s="1"/>
  <c r="W390" i="148" s="1"/>
  <c r="X390" i="148" s="1"/>
  <c r="Y390" i="148" s="1"/>
  <c r="Z390" i="148" s="1"/>
  <c r="AA390" i="148" s="1"/>
  <c r="AB390" i="148" s="1"/>
  <c r="AC390" i="148" s="1"/>
  <c r="AD390" i="148" s="1"/>
  <c r="AE390" i="148" s="1"/>
  <c r="AF390" i="148" s="1"/>
  <c r="F391" i="148"/>
  <c r="H391" i="148"/>
  <c r="I391" i="148"/>
  <c r="J391" i="148" s="1"/>
  <c r="K391" i="148" s="1"/>
  <c r="L391" i="148" s="1"/>
  <c r="M391" i="148" s="1"/>
  <c r="N391" i="148" s="1"/>
  <c r="O391" i="148" s="1"/>
  <c r="P391" i="148" s="1"/>
  <c r="Q391" i="148" s="1"/>
  <c r="R391" i="148" s="1"/>
  <c r="S391" i="148" s="1"/>
  <c r="T391" i="148" s="1"/>
  <c r="U391" i="148" s="1"/>
  <c r="V391" i="148" s="1"/>
  <c r="W391" i="148" s="1"/>
  <c r="X391" i="148" s="1"/>
  <c r="Y391" i="148" s="1"/>
  <c r="Z391" i="148" s="1"/>
  <c r="AA391" i="148" s="1"/>
  <c r="AB391" i="148" s="1"/>
  <c r="AC391" i="148" s="1"/>
  <c r="AD391" i="148" s="1"/>
  <c r="AE391" i="148" s="1"/>
  <c r="AF391" i="148" s="1"/>
  <c r="F392" i="148"/>
  <c r="H392" i="148"/>
  <c r="I392" i="148" s="1"/>
  <c r="J392" i="148" s="1"/>
  <c r="K392" i="148" s="1"/>
  <c r="L392" i="148" s="1"/>
  <c r="M392" i="148" s="1"/>
  <c r="N392" i="148" s="1"/>
  <c r="O392" i="148" s="1"/>
  <c r="P392" i="148" s="1"/>
  <c r="Q392" i="148" s="1"/>
  <c r="R392" i="148" s="1"/>
  <c r="S392" i="148" s="1"/>
  <c r="T392" i="148" s="1"/>
  <c r="U392" i="148" s="1"/>
  <c r="V392" i="148" s="1"/>
  <c r="W392" i="148" s="1"/>
  <c r="X392" i="148" s="1"/>
  <c r="Y392" i="148" s="1"/>
  <c r="Z392" i="148" s="1"/>
  <c r="AA392" i="148" s="1"/>
  <c r="AB392" i="148" s="1"/>
  <c r="AC392" i="148" s="1"/>
  <c r="AD392" i="148" s="1"/>
  <c r="AE392" i="148" s="1"/>
  <c r="AF392" i="148" s="1"/>
  <c r="F393" i="148"/>
  <c r="H393" i="148"/>
  <c r="I393" i="148" s="1"/>
  <c r="J393" i="148" s="1"/>
  <c r="K393" i="148" s="1"/>
  <c r="L393" i="148" s="1"/>
  <c r="M393" i="148" s="1"/>
  <c r="N393" i="148" s="1"/>
  <c r="O393" i="148" s="1"/>
  <c r="P393" i="148" s="1"/>
  <c r="Q393" i="148" s="1"/>
  <c r="R393" i="148" s="1"/>
  <c r="S393" i="148" s="1"/>
  <c r="T393" i="148" s="1"/>
  <c r="U393" i="148" s="1"/>
  <c r="V393" i="148" s="1"/>
  <c r="W393" i="148" s="1"/>
  <c r="X393" i="148" s="1"/>
  <c r="Y393" i="148" s="1"/>
  <c r="Z393" i="148" s="1"/>
  <c r="AA393" i="148" s="1"/>
  <c r="AB393" i="148" s="1"/>
  <c r="AC393" i="148" s="1"/>
  <c r="AD393" i="148" s="1"/>
  <c r="AE393" i="148" s="1"/>
  <c r="AF393" i="148" s="1"/>
  <c r="D394" i="148"/>
  <c r="F394" i="148"/>
  <c r="H394" i="148"/>
  <c r="I394" i="148" s="1"/>
  <c r="J394" i="148" s="1"/>
  <c r="K394" i="148" s="1"/>
  <c r="L394" i="148" s="1"/>
  <c r="M394" i="148" s="1"/>
  <c r="N394" i="148" s="1"/>
  <c r="O394" i="148" s="1"/>
  <c r="P394" i="148" s="1"/>
  <c r="Q394" i="148" s="1"/>
  <c r="R394" i="148" s="1"/>
  <c r="S394" i="148" s="1"/>
  <c r="T394" i="148" s="1"/>
  <c r="U394" i="148" s="1"/>
  <c r="V394" i="148" s="1"/>
  <c r="W394" i="148" s="1"/>
  <c r="X394" i="148" s="1"/>
  <c r="Y394" i="148" s="1"/>
  <c r="Z394" i="148" s="1"/>
  <c r="AA394" i="148" s="1"/>
  <c r="AB394" i="148" s="1"/>
  <c r="AC394" i="148" s="1"/>
  <c r="AD394" i="148" s="1"/>
  <c r="AE394" i="148" s="1"/>
  <c r="AF394" i="148" s="1"/>
  <c r="F395" i="148"/>
  <c r="H395" i="148"/>
  <c r="I395" i="148" s="1"/>
  <c r="J395" i="148" s="1"/>
  <c r="K395" i="148" s="1"/>
  <c r="L395" i="148" s="1"/>
  <c r="M395" i="148" s="1"/>
  <c r="N395" i="148" s="1"/>
  <c r="O395" i="148" s="1"/>
  <c r="P395" i="148" s="1"/>
  <c r="Q395" i="148" s="1"/>
  <c r="R395" i="148" s="1"/>
  <c r="S395" i="148" s="1"/>
  <c r="T395" i="148" s="1"/>
  <c r="U395" i="148" s="1"/>
  <c r="V395" i="148" s="1"/>
  <c r="W395" i="148" s="1"/>
  <c r="X395" i="148" s="1"/>
  <c r="Y395" i="148" s="1"/>
  <c r="Z395" i="148" s="1"/>
  <c r="AA395" i="148" s="1"/>
  <c r="AB395" i="148" s="1"/>
  <c r="AC395" i="148" s="1"/>
  <c r="AD395" i="148" s="1"/>
  <c r="AE395" i="148" s="1"/>
  <c r="AF395" i="148" s="1"/>
  <c r="F396" i="148"/>
  <c r="H396" i="148"/>
  <c r="I396" i="148"/>
  <c r="J396" i="148" s="1"/>
  <c r="K396" i="148" s="1"/>
  <c r="L396" i="148" s="1"/>
  <c r="M396" i="148" s="1"/>
  <c r="N396" i="148" s="1"/>
  <c r="O396" i="148" s="1"/>
  <c r="P396" i="148" s="1"/>
  <c r="Q396" i="148" s="1"/>
  <c r="R396" i="148" s="1"/>
  <c r="S396" i="148" s="1"/>
  <c r="T396" i="148" s="1"/>
  <c r="U396" i="148" s="1"/>
  <c r="V396" i="148" s="1"/>
  <c r="W396" i="148" s="1"/>
  <c r="X396" i="148" s="1"/>
  <c r="Y396" i="148" s="1"/>
  <c r="Z396" i="148" s="1"/>
  <c r="AA396" i="148" s="1"/>
  <c r="AB396" i="148" s="1"/>
  <c r="AC396" i="148" s="1"/>
  <c r="AD396" i="148" s="1"/>
  <c r="AE396" i="148" s="1"/>
  <c r="AF396" i="148" s="1"/>
  <c r="F398" i="148"/>
  <c r="H398" i="148"/>
  <c r="D399" i="148"/>
  <c r="D400" i="148" s="1"/>
  <c r="D401" i="148" s="1"/>
  <c r="D402" i="148" s="1"/>
  <c r="F399" i="148"/>
  <c r="H399" i="148"/>
  <c r="I399" i="148" s="1"/>
  <c r="J399" i="148" s="1"/>
  <c r="K399" i="148" s="1"/>
  <c r="L399" i="148" s="1"/>
  <c r="M399" i="148" s="1"/>
  <c r="N399" i="148" s="1"/>
  <c r="O399" i="148" s="1"/>
  <c r="P399" i="148" s="1"/>
  <c r="Q399" i="148" s="1"/>
  <c r="R399" i="148" s="1"/>
  <c r="S399" i="148" s="1"/>
  <c r="T399" i="148" s="1"/>
  <c r="U399" i="148" s="1"/>
  <c r="V399" i="148" s="1"/>
  <c r="W399" i="148" s="1"/>
  <c r="X399" i="148" s="1"/>
  <c r="Y399" i="148" s="1"/>
  <c r="Z399" i="148" s="1"/>
  <c r="AA399" i="148" s="1"/>
  <c r="AB399" i="148" s="1"/>
  <c r="AC399" i="148" s="1"/>
  <c r="AD399" i="148" s="1"/>
  <c r="AE399" i="148" s="1"/>
  <c r="AF399" i="148" s="1"/>
  <c r="F400" i="148"/>
  <c r="H400" i="148"/>
  <c r="I400" i="148" s="1"/>
  <c r="J400" i="148" s="1"/>
  <c r="K400" i="148" s="1"/>
  <c r="L400" i="148" s="1"/>
  <c r="M400" i="148" s="1"/>
  <c r="N400" i="148" s="1"/>
  <c r="O400" i="148" s="1"/>
  <c r="P400" i="148" s="1"/>
  <c r="Q400" i="148" s="1"/>
  <c r="R400" i="148" s="1"/>
  <c r="S400" i="148" s="1"/>
  <c r="T400" i="148" s="1"/>
  <c r="U400" i="148" s="1"/>
  <c r="V400" i="148" s="1"/>
  <c r="W400" i="148" s="1"/>
  <c r="X400" i="148" s="1"/>
  <c r="Y400" i="148" s="1"/>
  <c r="Z400" i="148" s="1"/>
  <c r="AA400" i="148" s="1"/>
  <c r="AB400" i="148" s="1"/>
  <c r="AC400" i="148" s="1"/>
  <c r="AD400" i="148" s="1"/>
  <c r="AE400" i="148" s="1"/>
  <c r="AF400" i="148" s="1"/>
  <c r="F401" i="148"/>
  <c r="H401" i="148"/>
  <c r="I401" i="148" s="1"/>
  <c r="J401" i="148" s="1"/>
  <c r="K401" i="148" s="1"/>
  <c r="L401" i="148" s="1"/>
  <c r="M401" i="148" s="1"/>
  <c r="N401" i="148" s="1"/>
  <c r="O401" i="148" s="1"/>
  <c r="P401" i="148" s="1"/>
  <c r="Q401" i="148" s="1"/>
  <c r="R401" i="148" s="1"/>
  <c r="S401" i="148" s="1"/>
  <c r="T401" i="148" s="1"/>
  <c r="U401" i="148" s="1"/>
  <c r="V401" i="148" s="1"/>
  <c r="W401" i="148" s="1"/>
  <c r="X401" i="148" s="1"/>
  <c r="Y401" i="148" s="1"/>
  <c r="Z401" i="148" s="1"/>
  <c r="AA401" i="148" s="1"/>
  <c r="AB401" i="148" s="1"/>
  <c r="AC401" i="148" s="1"/>
  <c r="AD401" i="148" s="1"/>
  <c r="AE401" i="148" s="1"/>
  <c r="AF401" i="148" s="1"/>
  <c r="F402" i="148"/>
  <c r="H402" i="148"/>
  <c r="I402" i="148"/>
  <c r="J402" i="148" s="1"/>
  <c r="K402" i="148" s="1"/>
  <c r="L402" i="148" s="1"/>
  <c r="M402" i="148" s="1"/>
  <c r="N402" i="148" s="1"/>
  <c r="O402" i="148" s="1"/>
  <c r="P402" i="148" s="1"/>
  <c r="Q402" i="148" s="1"/>
  <c r="R402" i="148" s="1"/>
  <c r="S402" i="148" s="1"/>
  <c r="T402" i="148" s="1"/>
  <c r="U402" i="148" s="1"/>
  <c r="V402" i="148" s="1"/>
  <c r="W402" i="148" s="1"/>
  <c r="X402" i="148" s="1"/>
  <c r="Y402" i="148" s="1"/>
  <c r="Z402" i="148" s="1"/>
  <c r="AA402" i="148" s="1"/>
  <c r="AB402" i="148" s="1"/>
  <c r="AC402" i="148" s="1"/>
  <c r="AD402" i="148" s="1"/>
  <c r="AE402" i="148" s="1"/>
  <c r="AF402" i="148" s="1"/>
  <c r="F403" i="148"/>
  <c r="H403" i="148"/>
  <c r="I403" i="148" s="1"/>
  <c r="J403" i="148" s="1"/>
  <c r="K403" i="148" s="1"/>
  <c r="L403" i="148" s="1"/>
  <c r="M403" i="148" s="1"/>
  <c r="N403" i="148" s="1"/>
  <c r="O403" i="148" s="1"/>
  <c r="P403" i="148" s="1"/>
  <c r="Q403" i="148" s="1"/>
  <c r="R403" i="148" s="1"/>
  <c r="S403" i="148" s="1"/>
  <c r="T403" i="148" s="1"/>
  <c r="U403" i="148" s="1"/>
  <c r="V403" i="148" s="1"/>
  <c r="W403" i="148" s="1"/>
  <c r="X403" i="148" s="1"/>
  <c r="Y403" i="148" s="1"/>
  <c r="Z403" i="148" s="1"/>
  <c r="AA403" i="148" s="1"/>
  <c r="AB403" i="148" s="1"/>
  <c r="AC403" i="148" s="1"/>
  <c r="AD403" i="148" s="1"/>
  <c r="AE403" i="148" s="1"/>
  <c r="AF403" i="148" s="1"/>
  <c r="D405" i="148"/>
  <c r="D406" i="148" s="1"/>
  <c r="D407" i="148" s="1"/>
  <c r="D408" i="148" s="1"/>
  <c r="D409" i="148" s="1"/>
  <c r="D410" i="148" s="1"/>
  <c r="D413" i="148" s="1"/>
  <c r="D414" i="148" s="1"/>
  <c r="D415" i="148" s="1"/>
  <c r="D417" i="148" s="1"/>
  <c r="D418" i="148" s="1"/>
  <c r="D422" i="148" s="1"/>
  <c r="D423" i="148" s="1"/>
  <c r="D425" i="148" s="1"/>
  <c r="D428" i="148" s="1"/>
  <c r="D429" i="148" s="1"/>
  <c r="D433" i="148" s="1"/>
  <c r="D434" i="148" s="1"/>
  <c r="D435" i="148" s="1"/>
  <c r="D436" i="148" s="1"/>
  <c r="D439" i="148" s="1"/>
  <c r="D440" i="148" s="1"/>
  <c r="D441" i="148" s="1"/>
  <c r="D442" i="148" s="1"/>
  <c r="D443" i="148" s="1"/>
  <c r="D444" i="148" s="1"/>
  <c r="D445" i="148" s="1"/>
  <c r="D446" i="148" s="1"/>
  <c r="D448" i="148" s="1"/>
  <c r="D449" i="148" s="1"/>
  <c r="D450" i="148" s="1"/>
  <c r="D451" i="148" s="1"/>
  <c r="D452" i="148" s="1"/>
  <c r="D453" i="148" s="1"/>
  <c r="D454" i="148" s="1"/>
  <c r="D455" i="148" s="1"/>
  <c r="D456" i="148" s="1"/>
  <c r="D457" i="148" s="1"/>
  <c r="D458" i="148" s="1"/>
  <c r="D459" i="148" s="1"/>
  <c r="D461" i="148" s="1"/>
  <c r="D462" i="148" s="1"/>
  <c r="D463" i="148" s="1"/>
  <c r="D464" i="148" s="1"/>
  <c r="D465" i="148" s="1"/>
  <c r="D466" i="148" s="1"/>
  <c r="D467" i="148" s="1"/>
  <c r="D469" i="148" s="1"/>
  <c r="D470" i="148" s="1"/>
  <c r="D471" i="148" s="1"/>
  <c r="D475" i="148" s="1"/>
  <c r="D476" i="148" s="1"/>
  <c r="D477" i="148" s="1"/>
  <c r="D479" i="148" s="1"/>
  <c r="D480" i="148" s="1"/>
  <c r="D481" i="148" s="1"/>
  <c r="D483" i="148" s="1"/>
  <c r="D484" i="148" s="1"/>
  <c r="D485" i="148" s="1"/>
  <c r="D486" i="148" s="1"/>
  <c r="F405" i="148"/>
  <c r="H405" i="148"/>
  <c r="F406" i="148"/>
  <c r="H406" i="148"/>
  <c r="I406" i="148"/>
  <c r="J406" i="148" s="1"/>
  <c r="K406" i="148" s="1"/>
  <c r="L406" i="148" s="1"/>
  <c r="M406" i="148" s="1"/>
  <c r="N406" i="148" s="1"/>
  <c r="O406" i="148" s="1"/>
  <c r="P406" i="148" s="1"/>
  <c r="Q406" i="148" s="1"/>
  <c r="R406" i="148" s="1"/>
  <c r="S406" i="148" s="1"/>
  <c r="T406" i="148" s="1"/>
  <c r="U406" i="148" s="1"/>
  <c r="V406" i="148" s="1"/>
  <c r="W406" i="148" s="1"/>
  <c r="X406" i="148" s="1"/>
  <c r="Y406" i="148" s="1"/>
  <c r="Z406" i="148" s="1"/>
  <c r="AA406" i="148" s="1"/>
  <c r="AB406" i="148" s="1"/>
  <c r="AC406" i="148" s="1"/>
  <c r="AD406" i="148" s="1"/>
  <c r="AE406" i="148" s="1"/>
  <c r="AF406" i="148" s="1"/>
  <c r="F407" i="148"/>
  <c r="H407" i="148"/>
  <c r="I407" i="148" s="1"/>
  <c r="J407" i="148" s="1"/>
  <c r="K407" i="148" s="1"/>
  <c r="L407" i="148" s="1"/>
  <c r="M407" i="148" s="1"/>
  <c r="N407" i="148" s="1"/>
  <c r="O407" i="148" s="1"/>
  <c r="P407" i="148" s="1"/>
  <c r="Q407" i="148" s="1"/>
  <c r="R407" i="148" s="1"/>
  <c r="S407" i="148" s="1"/>
  <c r="T407" i="148" s="1"/>
  <c r="U407" i="148" s="1"/>
  <c r="V407" i="148" s="1"/>
  <c r="W407" i="148" s="1"/>
  <c r="X407" i="148" s="1"/>
  <c r="Y407" i="148" s="1"/>
  <c r="Z407" i="148" s="1"/>
  <c r="AA407" i="148" s="1"/>
  <c r="AB407" i="148" s="1"/>
  <c r="AC407" i="148" s="1"/>
  <c r="AD407" i="148" s="1"/>
  <c r="AE407" i="148" s="1"/>
  <c r="AF407" i="148" s="1"/>
  <c r="F408" i="148"/>
  <c r="H408" i="148"/>
  <c r="I408" i="148"/>
  <c r="J408" i="148" s="1"/>
  <c r="K408" i="148" s="1"/>
  <c r="L408" i="148" s="1"/>
  <c r="M408" i="148" s="1"/>
  <c r="N408" i="148" s="1"/>
  <c r="O408" i="148" s="1"/>
  <c r="P408" i="148" s="1"/>
  <c r="Q408" i="148" s="1"/>
  <c r="R408" i="148" s="1"/>
  <c r="S408" i="148" s="1"/>
  <c r="T408" i="148" s="1"/>
  <c r="U408" i="148" s="1"/>
  <c r="V408" i="148" s="1"/>
  <c r="W408" i="148" s="1"/>
  <c r="X408" i="148" s="1"/>
  <c r="Y408" i="148" s="1"/>
  <c r="Z408" i="148" s="1"/>
  <c r="AA408" i="148" s="1"/>
  <c r="AB408" i="148" s="1"/>
  <c r="AC408" i="148" s="1"/>
  <c r="AD408" i="148" s="1"/>
  <c r="AE408" i="148" s="1"/>
  <c r="AF408" i="148" s="1"/>
  <c r="F409" i="148"/>
  <c r="H409" i="148"/>
  <c r="I409" i="148" s="1"/>
  <c r="J409" i="148" s="1"/>
  <c r="K409" i="148" s="1"/>
  <c r="L409" i="148" s="1"/>
  <c r="M409" i="148" s="1"/>
  <c r="N409" i="148" s="1"/>
  <c r="O409" i="148" s="1"/>
  <c r="P409" i="148" s="1"/>
  <c r="Q409" i="148" s="1"/>
  <c r="R409" i="148" s="1"/>
  <c r="S409" i="148" s="1"/>
  <c r="T409" i="148" s="1"/>
  <c r="U409" i="148" s="1"/>
  <c r="V409" i="148" s="1"/>
  <c r="W409" i="148" s="1"/>
  <c r="X409" i="148" s="1"/>
  <c r="Y409" i="148" s="1"/>
  <c r="Z409" i="148" s="1"/>
  <c r="AA409" i="148" s="1"/>
  <c r="AB409" i="148" s="1"/>
  <c r="AC409" i="148" s="1"/>
  <c r="AD409" i="148" s="1"/>
  <c r="AE409" i="148" s="1"/>
  <c r="AF409" i="148" s="1"/>
  <c r="F410" i="148"/>
  <c r="H410" i="148"/>
  <c r="I410" i="148" s="1"/>
  <c r="J410" i="148" s="1"/>
  <c r="K410" i="148" s="1"/>
  <c r="L410" i="148" s="1"/>
  <c r="M410" i="148" s="1"/>
  <c r="N410" i="148" s="1"/>
  <c r="O410" i="148" s="1"/>
  <c r="P410" i="148" s="1"/>
  <c r="Q410" i="148" s="1"/>
  <c r="R410" i="148" s="1"/>
  <c r="S410" i="148" s="1"/>
  <c r="T410" i="148" s="1"/>
  <c r="U410" i="148" s="1"/>
  <c r="V410" i="148" s="1"/>
  <c r="W410" i="148" s="1"/>
  <c r="X410" i="148" s="1"/>
  <c r="Y410" i="148" s="1"/>
  <c r="Z410" i="148" s="1"/>
  <c r="AA410" i="148" s="1"/>
  <c r="AB410" i="148" s="1"/>
  <c r="AC410" i="148" s="1"/>
  <c r="AD410" i="148" s="1"/>
  <c r="AE410" i="148" s="1"/>
  <c r="AF410" i="148" s="1"/>
  <c r="F413" i="148"/>
  <c r="F412" i="148" s="1"/>
  <c r="H413" i="148"/>
  <c r="F414" i="148"/>
  <c r="H414" i="148"/>
  <c r="I414" i="148"/>
  <c r="J414" i="148" s="1"/>
  <c r="K414" i="148" s="1"/>
  <c r="L414" i="148" s="1"/>
  <c r="M414" i="148" s="1"/>
  <c r="N414" i="148" s="1"/>
  <c r="O414" i="148" s="1"/>
  <c r="P414" i="148" s="1"/>
  <c r="Q414" i="148" s="1"/>
  <c r="R414" i="148" s="1"/>
  <c r="S414" i="148" s="1"/>
  <c r="T414" i="148" s="1"/>
  <c r="U414" i="148" s="1"/>
  <c r="V414" i="148" s="1"/>
  <c r="W414" i="148" s="1"/>
  <c r="X414" i="148" s="1"/>
  <c r="Y414" i="148" s="1"/>
  <c r="Z414" i="148" s="1"/>
  <c r="AA414" i="148" s="1"/>
  <c r="AB414" i="148" s="1"/>
  <c r="AC414" i="148" s="1"/>
  <c r="AD414" i="148" s="1"/>
  <c r="AE414" i="148" s="1"/>
  <c r="AF414" i="148" s="1"/>
  <c r="F415" i="148"/>
  <c r="H415" i="148"/>
  <c r="I415" i="148" s="1"/>
  <c r="J415" i="148" s="1"/>
  <c r="K415" i="148" s="1"/>
  <c r="L415" i="148" s="1"/>
  <c r="M415" i="148" s="1"/>
  <c r="N415" i="148" s="1"/>
  <c r="O415" i="148" s="1"/>
  <c r="P415" i="148" s="1"/>
  <c r="Q415" i="148" s="1"/>
  <c r="R415" i="148" s="1"/>
  <c r="S415" i="148" s="1"/>
  <c r="T415" i="148" s="1"/>
  <c r="U415" i="148" s="1"/>
  <c r="V415" i="148" s="1"/>
  <c r="W415" i="148" s="1"/>
  <c r="X415" i="148" s="1"/>
  <c r="Y415" i="148" s="1"/>
  <c r="Z415" i="148" s="1"/>
  <c r="AA415" i="148" s="1"/>
  <c r="AB415" i="148" s="1"/>
  <c r="AC415" i="148" s="1"/>
  <c r="AD415" i="148" s="1"/>
  <c r="AE415" i="148" s="1"/>
  <c r="AF415" i="148" s="1"/>
  <c r="F417" i="148"/>
  <c r="H417" i="148"/>
  <c r="F418" i="148"/>
  <c r="H418" i="148"/>
  <c r="I418" i="148" s="1"/>
  <c r="J418" i="148" s="1"/>
  <c r="K418" i="148" s="1"/>
  <c r="L418" i="148" s="1"/>
  <c r="M418" i="148" s="1"/>
  <c r="N418" i="148" s="1"/>
  <c r="O418" i="148" s="1"/>
  <c r="P418" i="148" s="1"/>
  <c r="Q418" i="148" s="1"/>
  <c r="R418" i="148" s="1"/>
  <c r="S418" i="148" s="1"/>
  <c r="T418" i="148" s="1"/>
  <c r="U418" i="148" s="1"/>
  <c r="V418" i="148" s="1"/>
  <c r="W418" i="148" s="1"/>
  <c r="X418" i="148" s="1"/>
  <c r="Y418" i="148" s="1"/>
  <c r="Z418" i="148" s="1"/>
  <c r="AA418" i="148" s="1"/>
  <c r="AB418" i="148" s="1"/>
  <c r="AC418" i="148" s="1"/>
  <c r="AD418" i="148" s="1"/>
  <c r="AE418" i="148" s="1"/>
  <c r="AF418" i="148" s="1"/>
  <c r="F422" i="148"/>
  <c r="F421" i="148" s="1"/>
  <c r="F420" i="148" s="1"/>
  <c r="H422" i="148"/>
  <c r="I422" i="148"/>
  <c r="F423" i="148"/>
  <c r="H423" i="148"/>
  <c r="I423" i="148" s="1"/>
  <c r="J423" i="148" s="1"/>
  <c r="K423" i="148" s="1"/>
  <c r="L423" i="148" s="1"/>
  <c r="M423" i="148" s="1"/>
  <c r="N423" i="148" s="1"/>
  <c r="O423" i="148" s="1"/>
  <c r="P423" i="148" s="1"/>
  <c r="Q423" i="148" s="1"/>
  <c r="R423" i="148" s="1"/>
  <c r="S423" i="148" s="1"/>
  <c r="T423" i="148" s="1"/>
  <c r="U423" i="148" s="1"/>
  <c r="V423" i="148" s="1"/>
  <c r="W423" i="148" s="1"/>
  <c r="X423" i="148" s="1"/>
  <c r="Y423" i="148" s="1"/>
  <c r="Z423" i="148" s="1"/>
  <c r="AA423" i="148" s="1"/>
  <c r="AB423" i="148" s="1"/>
  <c r="AC423" i="148" s="1"/>
  <c r="AD423" i="148" s="1"/>
  <c r="AE423" i="148" s="1"/>
  <c r="AF423" i="148" s="1"/>
  <c r="F425" i="148"/>
  <c r="F424" i="148" s="1"/>
  <c r="H425" i="148"/>
  <c r="H424" i="148" s="1"/>
  <c r="F428" i="148"/>
  <c r="F427" i="148" s="1"/>
  <c r="F426" i="148" s="1"/>
  <c r="H428" i="148"/>
  <c r="I428" i="148"/>
  <c r="I427" i="148" s="1"/>
  <c r="I426" i="148" s="1"/>
  <c r="F429" i="148"/>
  <c r="H429" i="148"/>
  <c r="I429" i="148" s="1"/>
  <c r="J429" i="148" s="1"/>
  <c r="K429" i="148" s="1"/>
  <c r="L429" i="148" s="1"/>
  <c r="M429" i="148" s="1"/>
  <c r="N429" i="148" s="1"/>
  <c r="O429" i="148" s="1"/>
  <c r="P429" i="148" s="1"/>
  <c r="Q429" i="148" s="1"/>
  <c r="R429" i="148" s="1"/>
  <c r="S429" i="148" s="1"/>
  <c r="T429" i="148" s="1"/>
  <c r="U429" i="148" s="1"/>
  <c r="V429" i="148" s="1"/>
  <c r="W429" i="148" s="1"/>
  <c r="X429" i="148" s="1"/>
  <c r="Y429" i="148" s="1"/>
  <c r="Z429" i="148" s="1"/>
  <c r="AA429" i="148" s="1"/>
  <c r="AB429" i="148" s="1"/>
  <c r="AC429" i="148" s="1"/>
  <c r="AD429" i="148" s="1"/>
  <c r="AE429" i="148" s="1"/>
  <c r="AF429" i="148" s="1"/>
  <c r="F433" i="148"/>
  <c r="H433" i="148"/>
  <c r="I433" i="148" s="1"/>
  <c r="J433" i="148" s="1"/>
  <c r="F434" i="148"/>
  <c r="H434" i="148"/>
  <c r="I434" i="148" s="1"/>
  <c r="J434" i="148" s="1"/>
  <c r="K434" i="148" s="1"/>
  <c r="L434" i="148" s="1"/>
  <c r="M434" i="148" s="1"/>
  <c r="N434" i="148" s="1"/>
  <c r="O434" i="148" s="1"/>
  <c r="P434" i="148" s="1"/>
  <c r="Q434" i="148" s="1"/>
  <c r="R434" i="148" s="1"/>
  <c r="S434" i="148" s="1"/>
  <c r="T434" i="148" s="1"/>
  <c r="U434" i="148" s="1"/>
  <c r="V434" i="148" s="1"/>
  <c r="W434" i="148" s="1"/>
  <c r="X434" i="148" s="1"/>
  <c r="Y434" i="148" s="1"/>
  <c r="Z434" i="148" s="1"/>
  <c r="AA434" i="148" s="1"/>
  <c r="AB434" i="148" s="1"/>
  <c r="AC434" i="148" s="1"/>
  <c r="AD434" i="148" s="1"/>
  <c r="AE434" i="148" s="1"/>
  <c r="AF434" i="148" s="1"/>
  <c r="F435" i="148"/>
  <c r="H435" i="148"/>
  <c r="I435" i="148" s="1"/>
  <c r="J435" i="148" s="1"/>
  <c r="K435" i="148" s="1"/>
  <c r="L435" i="148" s="1"/>
  <c r="M435" i="148" s="1"/>
  <c r="N435" i="148" s="1"/>
  <c r="O435" i="148" s="1"/>
  <c r="P435" i="148" s="1"/>
  <c r="Q435" i="148" s="1"/>
  <c r="R435" i="148" s="1"/>
  <c r="S435" i="148" s="1"/>
  <c r="T435" i="148" s="1"/>
  <c r="U435" i="148" s="1"/>
  <c r="V435" i="148" s="1"/>
  <c r="W435" i="148" s="1"/>
  <c r="X435" i="148" s="1"/>
  <c r="Y435" i="148" s="1"/>
  <c r="Z435" i="148" s="1"/>
  <c r="AA435" i="148" s="1"/>
  <c r="AB435" i="148" s="1"/>
  <c r="AC435" i="148" s="1"/>
  <c r="AD435" i="148" s="1"/>
  <c r="AE435" i="148" s="1"/>
  <c r="AF435" i="148" s="1"/>
  <c r="F436" i="148"/>
  <c r="H436" i="148"/>
  <c r="I436" i="148" s="1"/>
  <c r="J436" i="148" s="1"/>
  <c r="K436" i="148" s="1"/>
  <c r="L436" i="148" s="1"/>
  <c r="M436" i="148" s="1"/>
  <c r="N436" i="148" s="1"/>
  <c r="O436" i="148" s="1"/>
  <c r="P436" i="148" s="1"/>
  <c r="Q436" i="148" s="1"/>
  <c r="R436" i="148" s="1"/>
  <c r="S436" i="148" s="1"/>
  <c r="T436" i="148" s="1"/>
  <c r="U436" i="148" s="1"/>
  <c r="V436" i="148" s="1"/>
  <c r="W436" i="148" s="1"/>
  <c r="X436" i="148" s="1"/>
  <c r="Y436" i="148" s="1"/>
  <c r="Z436" i="148" s="1"/>
  <c r="AA436" i="148" s="1"/>
  <c r="AB436" i="148" s="1"/>
  <c r="AC436" i="148" s="1"/>
  <c r="AD436" i="148" s="1"/>
  <c r="AE436" i="148" s="1"/>
  <c r="AF436" i="148" s="1"/>
  <c r="F439" i="148"/>
  <c r="H439" i="148"/>
  <c r="I439" i="148"/>
  <c r="F440" i="148"/>
  <c r="H440" i="148"/>
  <c r="I440" i="148" s="1"/>
  <c r="J440" i="148" s="1"/>
  <c r="K440" i="148" s="1"/>
  <c r="L440" i="148" s="1"/>
  <c r="M440" i="148" s="1"/>
  <c r="N440" i="148" s="1"/>
  <c r="O440" i="148" s="1"/>
  <c r="P440" i="148" s="1"/>
  <c r="Q440" i="148" s="1"/>
  <c r="R440" i="148" s="1"/>
  <c r="S440" i="148" s="1"/>
  <c r="T440" i="148" s="1"/>
  <c r="U440" i="148" s="1"/>
  <c r="V440" i="148" s="1"/>
  <c r="W440" i="148" s="1"/>
  <c r="X440" i="148" s="1"/>
  <c r="Y440" i="148" s="1"/>
  <c r="Z440" i="148" s="1"/>
  <c r="AA440" i="148" s="1"/>
  <c r="AB440" i="148" s="1"/>
  <c r="AC440" i="148" s="1"/>
  <c r="AD440" i="148" s="1"/>
  <c r="AE440" i="148" s="1"/>
  <c r="AF440" i="148" s="1"/>
  <c r="F441" i="148"/>
  <c r="H441" i="148"/>
  <c r="I441" i="148" s="1"/>
  <c r="J441" i="148" s="1"/>
  <c r="K441" i="148" s="1"/>
  <c r="L441" i="148" s="1"/>
  <c r="M441" i="148" s="1"/>
  <c r="N441" i="148" s="1"/>
  <c r="O441" i="148" s="1"/>
  <c r="P441" i="148" s="1"/>
  <c r="Q441" i="148" s="1"/>
  <c r="R441" i="148" s="1"/>
  <c r="S441" i="148" s="1"/>
  <c r="T441" i="148" s="1"/>
  <c r="U441" i="148" s="1"/>
  <c r="V441" i="148" s="1"/>
  <c r="W441" i="148" s="1"/>
  <c r="X441" i="148" s="1"/>
  <c r="Y441" i="148" s="1"/>
  <c r="Z441" i="148" s="1"/>
  <c r="AA441" i="148" s="1"/>
  <c r="AB441" i="148" s="1"/>
  <c r="AC441" i="148" s="1"/>
  <c r="AD441" i="148" s="1"/>
  <c r="AE441" i="148" s="1"/>
  <c r="AF441" i="148" s="1"/>
  <c r="F442" i="148"/>
  <c r="H442" i="148"/>
  <c r="I442" i="148" s="1"/>
  <c r="J442" i="148" s="1"/>
  <c r="K442" i="148" s="1"/>
  <c r="L442" i="148" s="1"/>
  <c r="M442" i="148" s="1"/>
  <c r="N442" i="148" s="1"/>
  <c r="O442" i="148" s="1"/>
  <c r="P442" i="148" s="1"/>
  <c r="Q442" i="148" s="1"/>
  <c r="R442" i="148" s="1"/>
  <c r="S442" i="148" s="1"/>
  <c r="T442" i="148" s="1"/>
  <c r="U442" i="148" s="1"/>
  <c r="V442" i="148" s="1"/>
  <c r="W442" i="148" s="1"/>
  <c r="X442" i="148" s="1"/>
  <c r="Y442" i="148" s="1"/>
  <c r="Z442" i="148" s="1"/>
  <c r="AA442" i="148" s="1"/>
  <c r="AB442" i="148" s="1"/>
  <c r="AC442" i="148" s="1"/>
  <c r="AD442" i="148" s="1"/>
  <c r="AE442" i="148" s="1"/>
  <c r="AF442" i="148" s="1"/>
  <c r="F443" i="148"/>
  <c r="H443" i="148"/>
  <c r="I443" i="148"/>
  <c r="J443" i="148" s="1"/>
  <c r="K443" i="148" s="1"/>
  <c r="L443" i="148" s="1"/>
  <c r="M443" i="148" s="1"/>
  <c r="N443" i="148" s="1"/>
  <c r="O443" i="148" s="1"/>
  <c r="P443" i="148" s="1"/>
  <c r="Q443" i="148" s="1"/>
  <c r="R443" i="148" s="1"/>
  <c r="S443" i="148" s="1"/>
  <c r="T443" i="148" s="1"/>
  <c r="U443" i="148" s="1"/>
  <c r="V443" i="148" s="1"/>
  <c r="W443" i="148" s="1"/>
  <c r="X443" i="148" s="1"/>
  <c r="Y443" i="148" s="1"/>
  <c r="Z443" i="148" s="1"/>
  <c r="AA443" i="148" s="1"/>
  <c r="AB443" i="148" s="1"/>
  <c r="AC443" i="148" s="1"/>
  <c r="AD443" i="148" s="1"/>
  <c r="AE443" i="148" s="1"/>
  <c r="AF443" i="148" s="1"/>
  <c r="F444" i="148"/>
  <c r="H444" i="148"/>
  <c r="I444" i="148" s="1"/>
  <c r="J444" i="148" s="1"/>
  <c r="K444" i="148" s="1"/>
  <c r="L444" i="148" s="1"/>
  <c r="M444" i="148" s="1"/>
  <c r="N444" i="148" s="1"/>
  <c r="O444" i="148" s="1"/>
  <c r="P444" i="148" s="1"/>
  <c r="Q444" i="148" s="1"/>
  <c r="R444" i="148" s="1"/>
  <c r="S444" i="148" s="1"/>
  <c r="T444" i="148" s="1"/>
  <c r="U444" i="148" s="1"/>
  <c r="V444" i="148" s="1"/>
  <c r="W444" i="148" s="1"/>
  <c r="X444" i="148" s="1"/>
  <c r="Y444" i="148" s="1"/>
  <c r="Z444" i="148" s="1"/>
  <c r="AA444" i="148" s="1"/>
  <c r="AB444" i="148" s="1"/>
  <c r="AC444" i="148" s="1"/>
  <c r="AD444" i="148" s="1"/>
  <c r="AE444" i="148" s="1"/>
  <c r="AF444" i="148" s="1"/>
  <c r="F445" i="148"/>
  <c r="H445" i="148"/>
  <c r="I445" i="148" s="1"/>
  <c r="J445" i="148" s="1"/>
  <c r="K445" i="148" s="1"/>
  <c r="L445" i="148" s="1"/>
  <c r="M445" i="148" s="1"/>
  <c r="N445" i="148" s="1"/>
  <c r="O445" i="148" s="1"/>
  <c r="P445" i="148" s="1"/>
  <c r="Q445" i="148" s="1"/>
  <c r="R445" i="148" s="1"/>
  <c r="S445" i="148" s="1"/>
  <c r="T445" i="148" s="1"/>
  <c r="U445" i="148" s="1"/>
  <c r="V445" i="148" s="1"/>
  <c r="W445" i="148" s="1"/>
  <c r="X445" i="148" s="1"/>
  <c r="Y445" i="148" s="1"/>
  <c r="Z445" i="148" s="1"/>
  <c r="AA445" i="148" s="1"/>
  <c r="AB445" i="148" s="1"/>
  <c r="AC445" i="148" s="1"/>
  <c r="AD445" i="148" s="1"/>
  <c r="AE445" i="148" s="1"/>
  <c r="AF445" i="148" s="1"/>
  <c r="F446" i="148"/>
  <c r="H446" i="148"/>
  <c r="I446" i="148" s="1"/>
  <c r="J446" i="148" s="1"/>
  <c r="K446" i="148" s="1"/>
  <c r="L446" i="148" s="1"/>
  <c r="M446" i="148" s="1"/>
  <c r="N446" i="148" s="1"/>
  <c r="O446" i="148" s="1"/>
  <c r="P446" i="148" s="1"/>
  <c r="Q446" i="148" s="1"/>
  <c r="R446" i="148" s="1"/>
  <c r="S446" i="148" s="1"/>
  <c r="T446" i="148" s="1"/>
  <c r="U446" i="148" s="1"/>
  <c r="V446" i="148" s="1"/>
  <c r="W446" i="148" s="1"/>
  <c r="X446" i="148" s="1"/>
  <c r="Y446" i="148" s="1"/>
  <c r="Z446" i="148" s="1"/>
  <c r="AA446" i="148" s="1"/>
  <c r="AB446" i="148" s="1"/>
  <c r="AC446" i="148" s="1"/>
  <c r="AD446" i="148" s="1"/>
  <c r="AE446" i="148" s="1"/>
  <c r="AF446" i="148" s="1"/>
  <c r="F448" i="148"/>
  <c r="H448" i="148"/>
  <c r="I448" i="148"/>
  <c r="F449" i="148"/>
  <c r="H449" i="148"/>
  <c r="I449" i="148" s="1"/>
  <c r="J449" i="148" s="1"/>
  <c r="K449" i="148" s="1"/>
  <c r="L449" i="148" s="1"/>
  <c r="M449" i="148" s="1"/>
  <c r="N449" i="148" s="1"/>
  <c r="O449" i="148" s="1"/>
  <c r="P449" i="148" s="1"/>
  <c r="Q449" i="148" s="1"/>
  <c r="R449" i="148" s="1"/>
  <c r="S449" i="148" s="1"/>
  <c r="T449" i="148" s="1"/>
  <c r="U449" i="148" s="1"/>
  <c r="V449" i="148" s="1"/>
  <c r="W449" i="148" s="1"/>
  <c r="X449" i="148" s="1"/>
  <c r="Y449" i="148" s="1"/>
  <c r="Z449" i="148" s="1"/>
  <c r="AA449" i="148" s="1"/>
  <c r="AB449" i="148" s="1"/>
  <c r="AC449" i="148" s="1"/>
  <c r="AD449" i="148" s="1"/>
  <c r="AE449" i="148" s="1"/>
  <c r="AF449" i="148" s="1"/>
  <c r="F450" i="148"/>
  <c r="H450" i="148"/>
  <c r="I450" i="148" s="1"/>
  <c r="J450" i="148" s="1"/>
  <c r="K450" i="148" s="1"/>
  <c r="L450" i="148" s="1"/>
  <c r="M450" i="148" s="1"/>
  <c r="N450" i="148" s="1"/>
  <c r="O450" i="148" s="1"/>
  <c r="P450" i="148" s="1"/>
  <c r="Q450" i="148" s="1"/>
  <c r="R450" i="148" s="1"/>
  <c r="S450" i="148" s="1"/>
  <c r="T450" i="148" s="1"/>
  <c r="U450" i="148" s="1"/>
  <c r="V450" i="148" s="1"/>
  <c r="W450" i="148" s="1"/>
  <c r="X450" i="148" s="1"/>
  <c r="Y450" i="148" s="1"/>
  <c r="Z450" i="148" s="1"/>
  <c r="AA450" i="148" s="1"/>
  <c r="AB450" i="148" s="1"/>
  <c r="AC450" i="148" s="1"/>
  <c r="AD450" i="148" s="1"/>
  <c r="AE450" i="148" s="1"/>
  <c r="AF450" i="148" s="1"/>
  <c r="F451" i="148"/>
  <c r="H451" i="148"/>
  <c r="I451" i="148" s="1"/>
  <c r="J451" i="148" s="1"/>
  <c r="K451" i="148" s="1"/>
  <c r="L451" i="148" s="1"/>
  <c r="M451" i="148" s="1"/>
  <c r="N451" i="148" s="1"/>
  <c r="O451" i="148" s="1"/>
  <c r="P451" i="148" s="1"/>
  <c r="Q451" i="148" s="1"/>
  <c r="R451" i="148" s="1"/>
  <c r="S451" i="148" s="1"/>
  <c r="T451" i="148" s="1"/>
  <c r="U451" i="148" s="1"/>
  <c r="V451" i="148" s="1"/>
  <c r="W451" i="148" s="1"/>
  <c r="X451" i="148" s="1"/>
  <c r="Y451" i="148" s="1"/>
  <c r="Z451" i="148" s="1"/>
  <c r="AA451" i="148" s="1"/>
  <c r="AB451" i="148" s="1"/>
  <c r="AC451" i="148" s="1"/>
  <c r="AD451" i="148" s="1"/>
  <c r="AE451" i="148" s="1"/>
  <c r="AF451" i="148" s="1"/>
  <c r="F452" i="148"/>
  <c r="H452" i="148"/>
  <c r="I452" i="148"/>
  <c r="J452" i="148" s="1"/>
  <c r="K452" i="148" s="1"/>
  <c r="L452" i="148" s="1"/>
  <c r="M452" i="148" s="1"/>
  <c r="N452" i="148" s="1"/>
  <c r="O452" i="148" s="1"/>
  <c r="P452" i="148" s="1"/>
  <c r="Q452" i="148" s="1"/>
  <c r="R452" i="148" s="1"/>
  <c r="S452" i="148" s="1"/>
  <c r="T452" i="148" s="1"/>
  <c r="U452" i="148" s="1"/>
  <c r="V452" i="148" s="1"/>
  <c r="W452" i="148" s="1"/>
  <c r="X452" i="148" s="1"/>
  <c r="Y452" i="148" s="1"/>
  <c r="Z452" i="148" s="1"/>
  <c r="AA452" i="148" s="1"/>
  <c r="AB452" i="148" s="1"/>
  <c r="AC452" i="148" s="1"/>
  <c r="AD452" i="148" s="1"/>
  <c r="AE452" i="148" s="1"/>
  <c r="AF452" i="148" s="1"/>
  <c r="F453" i="148"/>
  <c r="H453" i="148"/>
  <c r="I453" i="148" s="1"/>
  <c r="J453" i="148" s="1"/>
  <c r="K453" i="148" s="1"/>
  <c r="L453" i="148" s="1"/>
  <c r="M453" i="148" s="1"/>
  <c r="N453" i="148" s="1"/>
  <c r="O453" i="148" s="1"/>
  <c r="P453" i="148" s="1"/>
  <c r="Q453" i="148" s="1"/>
  <c r="R453" i="148" s="1"/>
  <c r="S453" i="148" s="1"/>
  <c r="T453" i="148" s="1"/>
  <c r="U453" i="148" s="1"/>
  <c r="V453" i="148" s="1"/>
  <c r="W453" i="148" s="1"/>
  <c r="X453" i="148" s="1"/>
  <c r="Y453" i="148" s="1"/>
  <c r="Z453" i="148" s="1"/>
  <c r="AA453" i="148" s="1"/>
  <c r="AB453" i="148" s="1"/>
  <c r="AC453" i="148" s="1"/>
  <c r="AD453" i="148" s="1"/>
  <c r="AE453" i="148" s="1"/>
  <c r="AF453" i="148" s="1"/>
  <c r="F454" i="148"/>
  <c r="H454" i="148"/>
  <c r="I454" i="148" s="1"/>
  <c r="J454" i="148" s="1"/>
  <c r="K454" i="148" s="1"/>
  <c r="L454" i="148" s="1"/>
  <c r="M454" i="148" s="1"/>
  <c r="N454" i="148" s="1"/>
  <c r="O454" i="148" s="1"/>
  <c r="P454" i="148" s="1"/>
  <c r="Q454" i="148" s="1"/>
  <c r="R454" i="148" s="1"/>
  <c r="S454" i="148" s="1"/>
  <c r="T454" i="148" s="1"/>
  <c r="U454" i="148" s="1"/>
  <c r="V454" i="148" s="1"/>
  <c r="W454" i="148" s="1"/>
  <c r="X454" i="148" s="1"/>
  <c r="Y454" i="148" s="1"/>
  <c r="Z454" i="148" s="1"/>
  <c r="AA454" i="148" s="1"/>
  <c r="AB454" i="148" s="1"/>
  <c r="AC454" i="148" s="1"/>
  <c r="AD454" i="148" s="1"/>
  <c r="AE454" i="148" s="1"/>
  <c r="AF454" i="148" s="1"/>
  <c r="F455" i="148"/>
  <c r="H455" i="148"/>
  <c r="I455" i="148" s="1"/>
  <c r="J455" i="148" s="1"/>
  <c r="K455" i="148" s="1"/>
  <c r="L455" i="148" s="1"/>
  <c r="M455" i="148" s="1"/>
  <c r="N455" i="148" s="1"/>
  <c r="O455" i="148" s="1"/>
  <c r="P455" i="148" s="1"/>
  <c r="Q455" i="148" s="1"/>
  <c r="R455" i="148" s="1"/>
  <c r="S455" i="148" s="1"/>
  <c r="T455" i="148" s="1"/>
  <c r="U455" i="148" s="1"/>
  <c r="V455" i="148" s="1"/>
  <c r="W455" i="148" s="1"/>
  <c r="X455" i="148" s="1"/>
  <c r="Y455" i="148" s="1"/>
  <c r="Z455" i="148" s="1"/>
  <c r="AA455" i="148" s="1"/>
  <c r="AB455" i="148" s="1"/>
  <c r="AC455" i="148" s="1"/>
  <c r="AD455" i="148" s="1"/>
  <c r="AE455" i="148" s="1"/>
  <c r="AF455" i="148" s="1"/>
  <c r="F456" i="148"/>
  <c r="H456" i="148"/>
  <c r="I456" i="148"/>
  <c r="J456" i="148" s="1"/>
  <c r="K456" i="148" s="1"/>
  <c r="L456" i="148" s="1"/>
  <c r="M456" i="148" s="1"/>
  <c r="N456" i="148" s="1"/>
  <c r="O456" i="148" s="1"/>
  <c r="P456" i="148" s="1"/>
  <c r="Q456" i="148" s="1"/>
  <c r="R456" i="148" s="1"/>
  <c r="S456" i="148" s="1"/>
  <c r="T456" i="148" s="1"/>
  <c r="U456" i="148" s="1"/>
  <c r="V456" i="148" s="1"/>
  <c r="W456" i="148" s="1"/>
  <c r="X456" i="148" s="1"/>
  <c r="Y456" i="148" s="1"/>
  <c r="Z456" i="148" s="1"/>
  <c r="AA456" i="148" s="1"/>
  <c r="AB456" i="148" s="1"/>
  <c r="AC456" i="148" s="1"/>
  <c r="AD456" i="148" s="1"/>
  <c r="AE456" i="148" s="1"/>
  <c r="AF456" i="148" s="1"/>
  <c r="F457" i="148"/>
  <c r="H457" i="148"/>
  <c r="I457" i="148" s="1"/>
  <c r="J457" i="148" s="1"/>
  <c r="K457" i="148" s="1"/>
  <c r="L457" i="148" s="1"/>
  <c r="M457" i="148" s="1"/>
  <c r="N457" i="148" s="1"/>
  <c r="O457" i="148" s="1"/>
  <c r="P457" i="148" s="1"/>
  <c r="Q457" i="148" s="1"/>
  <c r="R457" i="148" s="1"/>
  <c r="S457" i="148" s="1"/>
  <c r="T457" i="148" s="1"/>
  <c r="U457" i="148" s="1"/>
  <c r="V457" i="148" s="1"/>
  <c r="W457" i="148" s="1"/>
  <c r="X457" i="148" s="1"/>
  <c r="Y457" i="148" s="1"/>
  <c r="Z457" i="148" s="1"/>
  <c r="AA457" i="148" s="1"/>
  <c r="AB457" i="148" s="1"/>
  <c r="AC457" i="148" s="1"/>
  <c r="AD457" i="148" s="1"/>
  <c r="AE457" i="148" s="1"/>
  <c r="AF457" i="148" s="1"/>
  <c r="F458" i="148"/>
  <c r="H458" i="148"/>
  <c r="I458" i="148" s="1"/>
  <c r="J458" i="148" s="1"/>
  <c r="K458" i="148" s="1"/>
  <c r="L458" i="148" s="1"/>
  <c r="M458" i="148" s="1"/>
  <c r="N458" i="148" s="1"/>
  <c r="O458" i="148" s="1"/>
  <c r="P458" i="148" s="1"/>
  <c r="Q458" i="148" s="1"/>
  <c r="R458" i="148" s="1"/>
  <c r="S458" i="148" s="1"/>
  <c r="T458" i="148" s="1"/>
  <c r="U458" i="148" s="1"/>
  <c r="V458" i="148" s="1"/>
  <c r="W458" i="148" s="1"/>
  <c r="X458" i="148" s="1"/>
  <c r="Y458" i="148" s="1"/>
  <c r="Z458" i="148" s="1"/>
  <c r="AA458" i="148" s="1"/>
  <c r="AB458" i="148" s="1"/>
  <c r="AC458" i="148" s="1"/>
  <c r="AD458" i="148" s="1"/>
  <c r="AE458" i="148" s="1"/>
  <c r="AF458" i="148" s="1"/>
  <c r="F459" i="148"/>
  <c r="H459" i="148"/>
  <c r="I459" i="148" s="1"/>
  <c r="J459" i="148" s="1"/>
  <c r="K459" i="148" s="1"/>
  <c r="L459" i="148" s="1"/>
  <c r="M459" i="148" s="1"/>
  <c r="N459" i="148" s="1"/>
  <c r="O459" i="148" s="1"/>
  <c r="P459" i="148" s="1"/>
  <c r="Q459" i="148" s="1"/>
  <c r="R459" i="148" s="1"/>
  <c r="S459" i="148" s="1"/>
  <c r="T459" i="148" s="1"/>
  <c r="U459" i="148" s="1"/>
  <c r="V459" i="148" s="1"/>
  <c r="W459" i="148" s="1"/>
  <c r="X459" i="148" s="1"/>
  <c r="Y459" i="148" s="1"/>
  <c r="Z459" i="148" s="1"/>
  <c r="AA459" i="148" s="1"/>
  <c r="AB459" i="148" s="1"/>
  <c r="AC459" i="148" s="1"/>
  <c r="AD459" i="148" s="1"/>
  <c r="AE459" i="148" s="1"/>
  <c r="AF459" i="148" s="1"/>
  <c r="F461" i="148"/>
  <c r="H461" i="148"/>
  <c r="I461" i="148"/>
  <c r="F462" i="148"/>
  <c r="H462" i="148"/>
  <c r="I462" i="148" s="1"/>
  <c r="J462" i="148" s="1"/>
  <c r="K462" i="148" s="1"/>
  <c r="L462" i="148" s="1"/>
  <c r="M462" i="148" s="1"/>
  <c r="N462" i="148" s="1"/>
  <c r="O462" i="148" s="1"/>
  <c r="P462" i="148" s="1"/>
  <c r="Q462" i="148" s="1"/>
  <c r="R462" i="148" s="1"/>
  <c r="S462" i="148" s="1"/>
  <c r="T462" i="148" s="1"/>
  <c r="U462" i="148" s="1"/>
  <c r="V462" i="148" s="1"/>
  <c r="W462" i="148" s="1"/>
  <c r="X462" i="148" s="1"/>
  <c r="Y462" i="148" s="1"/>
  <c r="Z462" i="148" s="1"/>
  <c r="AA462" i="148" s="1"/>
  <c r="AB462" i="148" s="1"/>
  <c r="AC462" i="148" s="1"/>
  <c r="AD462" i="148" s="1"/>
  <c r="AE462" i="148" s="1"/>
  <c r="AF462" i="148" s="1"/>
  <c r="F463" i="148"/>
  <c r="H463" i="148"/>
  <c r="I463" i="148" s="1"/>
  <c r="J463" i="148" s="1"/>
  <c r="K463" i="148" s="1"/>
  <c r="L463" i="148" s="1"/>
  <c r="M463" i="148" s="1"/>
  <c r="N463" i="148" s="1"/>
  <c r="O463" i="148" s="1"/>
  <c r="P463" i="148" s="1"/>
  <c r="Q463" i="148" s="1"/>
  <c r="R463" i="148" s="1"/>
  <c r="S463" i="148" s="1"/>
  <c r="T463" i="148" s="1"/>
  <c r="U463" i="148" s="1"/>
  <c r="V463" i="148" s="1"/>
  <c r="W463" i="148" s="1"/>
  <c r="X463" i="148" s="1"/>
  <c r="Y463" i="148" s="1"/>
  <c r="Z463" i="148" s="1"/>
  <c r="AA463" i="148" s="1"/>
  <c r="AB463" i="148" s="1"/>
  <c r="AC463" i="148" s="1"/>
  <c r="AD463" i="148" s="1"/>
  <c r="AE463" i="148" s="1"/>
  <c r="AF463" i="148" s="1"/>
  <c r="F464" i="148"/>
  <c r="H464" i="148"/>
  <c r="I464" i="148" s="1"/>
  <c r="J464" i="148" s="1"/>
  <c r="K464" i="148" s="1"/>
  <c r="L464" i="148" s="1"/>
  <c r="M464" i="148" s="1"/>
  <c r="N464" i="148" s="1"/>
  <c r="O464" i="148" s="1"/>
  <c r="P464" i="148" s="1"/>
  <c r="Q464" i="148" s="1"/>
  <c r="R464" i="148" s="1"/>
  <c r="S464" i="148" s="1"/>
  <c r="T464" i="148" s="1"/>
  <c r="U464" i="148" s="1"/>
  <c r="V464" i="148" s="1"/>
  <c r="W464" i="148" s="1"/>
  <c r="X464" i="148" s="1"/>
  <c r="Y464" i="148" s="1"/>
  <c r="Z464" i="148" s="1"/>
  <c r="AA464" i="148" s="1"/>
  <c r="AB464" i="148" s="1"/>
  <c r="AC464" i="148" s="1"/>
  <c r="AD464" i="148" s="1"/>
  <c r="AE464" i="148" s="1"/>
  <c r="AF464" i="148" s="1"/>
  <c r="F465" i="148"/>
  <c r="H465" i="148"/>
  <c r="I465" i="148"/>
  <c r="J465" i="148" s="1"/>
  <c r="K465" i="148" s="1"/>
  <c r="L465" i="148" s="1"/>
  <c r="M465" i="148" s="1"/>
  <c r="N465" i="148" s="1"/>
  <c r="O465" i="148" s="1"/>
  <c r="P465" i="148" s="1"/>
  <c r="Q465" i="148" s="1"/>
  <c r="R465" i="148" s="1"/>
  <c r="S465" i="148" s="1"/>
  <c r="T465" i="148" s="1"/>
  <c r="U465" i="148" s="1"/>
  <c r="V465" i="148" s="1"/>
  <c r="W465" i="148" s="1"/>
  <c r="X465" i="148" s="1"/>
  <c r="Y465" i="148" s="1"/>
  <c r="Z465" i="148" s="1"/>
  <c r="AA465" i="148" s="1"/>
  <c r="AB465" i="148" s="1"/>
  <c r="AC465" i="148" s="1"/>
  <c r="AD465" i="148" s="1"/>
  <c r="AE465" i="148" s="1"/>
  <c r="AF465" i="148" s="1"/>
  <c r="F466" i="148"/>
  <c r="H466" i="148"/>
  <c r="I466" i="148" s="1"/>
  <c r="J466" i="148" s="1"/>
  <c r="K466" i="148" s="1"/>
  <c r="L466" i="148" s="1"/>
  <c r="M466" i="148" s="1"/>
  <c r="N466" i="148" s="1"/>
  <c r="O466" i="148" s="1"/>
  <c r="P466" i="148" s="1"/>
  <c r="Q466" i="148" s="1"/>
  <c r="R466" i="148" s="1"/>
  <c r="S466" i="148" s="1"/>
  <c r="T466" i="148" s="1"/>
  <c r="U466" i="148" s="1"/>
  <c r="V466" i="148" s="1"/>
  <c r="W466" i="148" s="1"/>
  <c r="X466" i="148" s="1"/>
  <c r="Y466" i="148" s="1"/>
  <c r="Z466" i="148" s="1"/>
  <c r="AA466" i="148" s="1"/>
  <c r="AB466" i="148" s="1"/>
  <c r="AC466" i="148" s="1"/>
  <c r="AD466" i="148" s="1"/>
  <c r="AE466" i="148" s="1"/>
  <c r="AF466" i="148" s="1"/>
  <c r="F467" i="148"/>
  <c r="H467" i="148"/>
  <c r="I467" i="148" s="1"/>
  <c r="J467" i="148" s="1"/>
  <c r="K467" i="148" s="1"/>
  <c r="L467" i="148" s="1"/>
  <c r="M467" i="148" s="1"/>
  <c r="N467" i="148" s="1"/>
  <c r="O467" i="148" s="1"/>
  <c r="P467" i="148" s="1"/>
  <c r="Q467" i="148" s="1"/>
  <c r="R467" i="148" s="1"/>
  <c r="S467" i="148" s="1"/>
  <c r="T467" i="148" s="1"/>
  <c r="U467" i="148" s="1"/>
  <c r="V467" i="148" s="1"/>
  <c r="W467" i="148" s="1"/>
  <c r="X467" i="148" s="1"/>
  <c r="Y467" i="148" s="1"/>
  <c r="Z467" i="148" s="1"/>
  <c r="AA467" i="148" s="1"/>
  <c r="AB467" i="148" s="1"/>
  <c r="AC467" i="148" s="1"/>
  <c r="AD467" i="148" s="1"/>
  <c r="AE467" i="148" s="1"/>
  <c r="AF467" i="148" s="1"/>
  <c r="F469" i="148"/>
  <c r="H469" i="148"/>
  <c r="I469" i="148"/>
  <c r="F470" i="148"/>
  <c r="H470" i="148"/>
  <c r="I470" i="148" s="1"/>
  <c r="J470" i="148" s="1"/>
  <c r="K470" i="148" s="1"/>
  <c r="L470" i="148" s="1"/>
  <c r="M470" i="148" s="1"/>
  <c r="N470" i="148" s="1"/>
  <c r="O470" i="148" s="1"/>
  <c r="P470" i="148" s="1"/>
  <c r="Q470" i="148" s="1"/>
  <c r="R470" i="148" s="1"/>
  <c r="S470" i="148" s="1"/>
  <c r="T470" i="148" s="1"/>
  <c r="U470" i="148" s="1"/>
  <c r="V470" i="148" s="1"/>
  <c r="W470" i="148" s="1"/>
  <c r="X470" i="148" s="1"/>
  <c r="Y470" i="148" s="1"/>
  <c r="Z470" i="148" s="1"/>
  <c r="AA470" i="148" s="1"/>
  <c r="AB470" i="148" s="1"/>
  <c r="AC470" i="148" s="1"/>
  <c r="AD470" i="148" s="1"/>
  <c r="AE470" i="148" s="1"/>
  <c r="AF470" i="148" s="1"/>
  <c r="F471" i="148"/>
  <c r="H471" i="148"/>
  <c r="I471" i="148" s="1"/>
  <c r="J471" i="148" s="1"/>
  <c r="K471" i="148" s="1"/>
  <c r="L471" i="148" s="1"/>
  <c r="M471" i="148" s="1"/>
  <c r="N471" i="148" s="1"/>
  <c r="O471" i="148" s="1"/>
  <c r="P471" i="148" s="1"/>
  <c r="Q471" i="148" s="1"/>
  <c r="R471" i="148" s="1"/>
  <c r="S471" i="148" s="1"/>
  <c r="T471" i="148" s="1"/>
  <c r="U471" i="148" s="1"/>
  <c r="V471" i="148" s="1"/>
  <c r="W471" i="148" s="1"/>
  <c r="X471" i="148" s="1"/>
  <c r="Y471" i="148" s="1"/>
  <c r="Z471" i="148" s="1"/>
  <c r="AA471" i="148" s="1"/>
  <c r="AB471" i="148" s="1"/>
  <c r="AC471" i="148" s="1"/>
  <c r="AD471" i="148" s="1"/>
  <c r="AE471" i="148" s="1"/>
  <c r="AF471" i="148" s="1"/>
  <c r="F475" i="148"/>
  <c r="F474" i="148" s="1"/>
  <c r="H475" i="148"/>
  <c r="I475" i="148"/>
  <c r="F476" i="148"/>
  <c r="H476" i="148"/>
  <c r="I476" i="148" s="1"/>
  <c r="J476" i="148" s="1"/>
  <c r="K476" i="148" s="1"/>
  <c r="L476" i="148" s="1"/>
  <c r="M476" i="148" s="1"/>
  <c r="N476" i="148" s="1"/>
  <c r="O476" i="148" s="1"/>
  <c r="P476" i="148" s="1"/>
  <c r="Q476" i="148" s="1"/>
  <c r="R476" i="148" s="1"/>
  <c r="S476" i="148" s="1"/>
  <c r="T476" i="148" s="1"/>
  <c r="U476" i="148" s="1"/>
  <c r="V476" i="148" s="1"/>
  <c r="W476" i="148" s="1"/>
  <c r="X476" i="148" s="1"/>
  <c r="Y476" i="148" s="1"/>
  <c r="Z476" i="148" s="1"/>
  <c r="AA476" i="148" s="1"/>
  <c r="AB476" i="148" s="1"/>
  <c r="AC476" i="148" s="1"/>
  <c r="AD476" i="148" s="1"/>
  <c r="AE476" i="148" s="1"/>
  <c r="AF476" i="148" s="1"/>
  <c r="F477" i="148"/>
  <c r="H477" i="148"/>
  <c r="I477" i="148" s="1"/>
  <c r="J477" i="148" s="1"/>
  <c r="K477" i="148" s="1"/>
  <c r="L477" i="148" s="1"/>
  <c r="M477" i="148" s="1"/>
  <c r="N477" i="148" s="1"/>
  <c r="O477" i="148" s="1"/>
  <c r="P477" i="148" s="1"/>
  <c r="Q477" i="148" s="1"/>
  <c r="R477" i="148" s="1"/>
  <c r="S477" i="148" s="1"/>
  <c r="T477" i="148" s="1"/>
  <c r="U477" i="148" s="1"/>
  <c r="V477" i="148" s="1"/>
  <c r="W477" i="148" s="1"/>
  <c r="X477" i="148" s="1"/>
  <c r="Y477" i="148" s="1"/>
  <c r="Z477" i="148" s="1"/>
  <c r="AA477" i="148" s="1"/>
  <c r="AB477" i="148" s="1"/>
  <c r="AC477" i="148" s="1"/>
  <c r="AD477" i="148" s="1"/>
  <c r="AE477" i="148" s="1"/>
  <c r="AF477" i="148" s="1"/>
  <c r="F479" i="148"/>
  <c r="F478" i="148" s="1"/>
  <c r="H479" i="148"/>
  <c r="I479" i="148"/>
  <c r="F480" i="148"/>
  <c r="H480" i="148"/>
  <c r="I480" i="148"/>
  <c r="J480" i="148" s="1"/>
  <c r="K480" i="148" s="1"/>
  <c r="L480" i="148" s="1"/>
  <c r="M480" i="148" s="1"/>
  <c r="N480" i="148" s="1"/>
  <c r="O480" i="148" s="1"/>
  <c r="P480" i="148" s="1"/>
  <c r="Q480" i="148" s="1"/>
  <c r="R480" i="148" s="1"/>
  <c r="S480" i="148" s="1"/>
  <c r="T480" i="148" s="1"/>
  <c r="U480" i="148" s="1"/>
  <c r="V480" i="148" s="1"/>
  <c r="W480" i="148" s="1"/>
  <c r="X480" i="148" s="1"/>
  <c r="Y480" i="148" s="1"/>
  <c r="Z480" i="148" s="1"/>
  <c r="AA480" i="148" s="1"/>
  <c r="AB480" i="148" s="1"/>
  <c r="AC480" i="148" s="1"/>
  <c r="AD480" i="148" s="1"/>
  <c r="AE480" i="148" s="1"/>
  <c r="AF480" i="148" s="1"/>
  <c r="F481" i="148"/>
  <c r="H481" i="148"/>
  <c r="I481" i="148" s="1"/>
  <c r="J481" i="148" s="1"/>
  <c r="K481" i="148" s="1"/>
  <c r="L481" i="148" s="1"/>
  <c r="M481" i="148" s="1"/>
  <c r="N481" i="148" s="1"/>
  <c r="O481" i="148" s="1"/>
  <c r="P481" i="148" s="1"/>
  <c r="Q481" i="148" s="1"/>
  <c r="R481" i="148" s="1"/>
  <c r="S481" i="148" s="1"/>
  <c r="T481" i="148" s="1"/>
  <c r="U481" i="148" s="1"/>
  <c r="V481" i="148" s="1"/>
  <c r="W481" i="148" s="1"/>
  <c r="X481" i="148" s="1"/>
  <c r="Y481" i="148" s="1"/>
  <c r="Z481" i="148" s="1"/>
  <c r="AA481" i="148" s="1"/>
  <c r="AB481" i="148" s="1"/>
  <c r="AC481" i="148" s="1"/>
  <c r="AD481" i="148" s="1"/>
  <c r="AE481" i="148" s="1"/>
  <c r="AF481" i="148" s="1"/>
  <c r="F483" i="148"/>
  <c r="F482" i="148" s="1"/>
  <c r="H483" i="148"/>
  <c r="I483" i="148"/>
  <c r="F484" i="148"/>
  <c r="H484" i="148"/>
  <c r="I484" i="148" s="1"/>
  <c r="J484" i="148" s="1"/>
  <c r="K484" i="148" s="1"/>
  <c r="L484" i="148" s="1"/>
  <c r="M484" i="148" s="1"/>
  <c r="N484" i="148" s="1"/>
  <c r="O484" i="148" s="1"/>
  <c r="P484" i="148" s="1"/>
  <c r="Q484" i="148" s="1"/>
  <c r="R484" i="148" s="1"/>
  <c r="S484" i="148" s="1"/>
  <c r="T484" i="148" s="1"/>
  <c r="U484" i="148" s="1"/>
  <c r="V484" i="148" s="1"/>
  <c r="W484" i="148" s="1"/>
  <c r="X484" i="148" s="1"/>
  <c r="Y484" i="148" s="1"/>
  <c r="Z484" i="148" s="1"/>
  <c r="AA484" i="148" s="1"/>
  <c r="AB484" i="148" s="1"/>
  <c r="AC484" i="148" s="1"/>
  <c r="AD484" i="148" s="1"/>
  <c r="AE484" i="148" s="1"/>
  <c r="AF484" i="148" s="1"/>
  <c r="F485" i="148"/>
  <c r="H485" i="148"/>
  <c r="I485" i="148" s="1"/>
  <c r="J485" i="148" s="1"/>
  <c r="K485" i="148" s="1"/>
  <c r="L485" i="148" s="1"/>
  <c r="M485" i="148" s="1"/>
  <c r="N485" i="148" s="1"/>
  <c r="O485" i="148" s="1"/>
  <c r="P485" i="148" s="1"/>
  <c r="Q485" i="148" s="1"/>
  <c r="R485" i="148" s="1"/>
  <c r="S485" i="148" s="1"/>
  <c r="T485" i="148" s="1"/>
  <c r="U485" i="148" s="1"/>
  <c r="V485" i="148" s="1"/>
  <c r="W485" i="148" s="1"/>
  <c r="X485" i="148" s="1"/>
  <c r="Y485" i="148" s="1"/>
  <c r="Z485" i="148" s="1"/>
  <c r="AA485" i="148" s="1"/>
  <c r="AB485" i="148" s="1"/>
  <c r="AC485" i="148" s="1"/>
  <c r="AD485" i="148" s="1"/>
  <c r="AE485" i="148" s="1"/>
  <c r="AF485" i="148" s="1"/>
  <c r="F486" i="148"/>
  <c r="H486" i="148"/>
  <c r="I486" i="148"/>
  <c r="J486" i="148" s="1"/>
  <c r="K486" i="148" s="1"/>
  <c r="L486" i="148" s="1"/>
  <c r="M486" i="148" s="1"/>
  <c r="N486" i="148" s="1"/>
  <c r="O486" i="148" s="1"/>
  <c r="P486" i="148" s="1"/>
  <c r="Q486" i="148" s="1"/>
  <c r="R486" i="148" s="1"/>
  <c r="S486" i="148" s="1"/>
  <c r="T486" i="148" s="1"/>
  <c r="U486" i="148" s="1"/>
  <c r="V486" i="148" s="1"/>
  <c r="W486" i="148" s="1"/>
  <c r="X486" i="148" s="1"/>
  <c r="Y486" i="148" s="1"/>
  <c r="Z486" i="148" s="1"/>
  <c r="AA486" i="148" s="1"/>
  <c r="AB486" i="148" s="1"/>
  <c r="AC486" i="148" s="1"/>
  <c r="AD486" i="148" s="1"/>
  <c r="AE486" i="148" s="1"/>
  <c r="AF486" i="148" s="1"/>
  <c r="F490" i="148"/>
  <c r="F489" i="148" s="1"/>
  <c r="F488" i="148" s="1"/>
  <c r="H490" i="148"/>
  <c r="D493" i="148"/>
  <c r="D494" i="148" s="1"/>
  <c r="D495" i="148" s="1"/>
  <c r="D496" i="148" s="1"/>
  <c r="D497" i="148" s="1"/>
  <c r="D498" i="148" s="1"/>
  <c r="D500" i="148" s="1"/>
  <c r="D503" i="148" s="1"/>
  <c r="D504" i="148" s="1"/>
  <c r="D506" i="148" s="1"/>
  <c r="D507" i="148" s="1"/>
  <c r="D509" i="148" s="1"/>
  <c r="D511" i="148" s="1"/>
  <c r="D512" i="148" s="1"/>
  <c r="D515" i="148" s="1"/>
  <c r="D516" i="148" s="1"/>
  <c r="D518" i="148" s="1"/>
  <c r="D519" i="148" s="1"/>
  <c r="D521" i="148" s="1"/>
  <c r="D525" i="148" s="1"/>
  <c r="D526" i="148" s="1"/>
  <c r="D527" i="148" s="1"/>
  <c r="D528" i="148" s="1"/>
  <c r="D530" i="148" s="1"/>
  <c r="D531" i="148" s="1"/>
  <c r="D534" i="148" s="1"/>
  <c r="D535" i="148" s="1"/>
  <c r="D536" i="148" s="1"/>
  <c r="D537" i="148" s="1"/>
  <c r="D540" i="148" s="1"/>
  <c r="D541" i="148" s="1"/>
  <c r="D542" i="148" s="1"/>
  <c r="D543" i="148" s="1"/>
  <c r="D546" i="148" s="1"/>
  <c r="D547" i="148" s="1"/>
  <c r="D548" i="148" s="1"/>
  <c r="D549" i="148" s="1"/>
  <c r="D552" i="148" s="1"/>
  <c r="D553" i="148" s="1"/>
  <c r="D554" i="148" s="1"/>
  <c r="D557" i="148" s="1"/>
  <c r="D558" i="148" s="1"/>
  <c r="D559" i="148" s="1"/>
  <c r="D560" i="148" s="1"/>
  <c r="D561" i="148" s="1"/>
  <c r="D565" i="148" s="1"/>
  <c r="D566" i="148" s="1"/>
  <c r="D567" i="148" s="1"/>
  <c r="D568" i="148" s="1"/>
  <c r="D569" i="148" s="1"/>
  <c r="D570" i="148" s="1"/>
  <c r="D571" i="148" s="1"/>
  <c r="D574" i="148" s="1"/>
  <c r="D575" i="148" s="1"/>
  <c r="D578" i="148" s="1"/>
  <c r="D579" i="148" s="1"/>
  <c r="D583" i="148" s="1"/>
  <c r="D585" i="148" s="1"/>
  <c r="D588" i="148" s="1"/>
  <c r="D590" i="148" s="1"/>
  <c r="D591" i="148" s="1"/>
  <c r="D592" i="148" s="1"/>
  <c r="D594" i="148" s="1"/>
  <c r="D597" i="148" s="1"/>
  <c r="D599" i="148" s="1"/>
  <c r="D600" i="148" s="1"/>
  <c r="D601" i="148" s="1"/>
  <c r="D603" i="148" s="1"/>
  <c r="D607" i="148" s="1"/>
  <c r="D608" i="148" s="1"/>
  <c r="D609" i="148" s="1"/>
  <c r="D610" i="148" s="1"/>
  <c r="D611" i="148" s="1"/>
  <c r="D615" i="148" s="1"/>
  <c r="D616" i="148" s="1"/>
  <c r="D617" i="148" s="1"/>
  <c r="D619" i="148" s="1"/>
  <c r="D620" i="148" s="1"/>
  <c r="D623" i="148" s="1"/>
  <c r="D624" i="148" s="1"/>
  <c r="D625" i="148" s="1"/>
  <c r="D627" i="148" s="1"/>
  <c r="D630" i="148" s="1"/>
  <c r="D631" i="148" s="1"/>
  <c r="D633" i="148" s="1"/>
  <c r="D635" i="148" s="1"/>
  <c r="D637" i="148" s="1"/>
  <c r="D641" i="148" s="1"/>
  <c r="D645" i="148" s="1"/>
  <c r="D647" i="148" s="1"/>
  <c r="D650" i="148" s="1"/>
  <c r="D654" i="148" s="1"/>
  <c r="D655" i="148" s="1"/>
  <c r="D656" i="148" s="1"/>
  <c r="D658" i="148" s="1"/>
  <c r="F493" i="148"/>
  <c r="H493" i="148"/>
  <c r="F494" i="148"/>
  <c r="H494" i="148"/>
  <c r="I494" i="148" s="1"/>
  <c r="J494" i="148" s="1"/>
  <c r="K494" i="148" s="1"/>
  <c r="L494" i="148" s="1"/>
  <c r="M494" i="148" s="1"/>
  <c r="N494" i="148" s="1"/>
  <c r="O494" i="148" s="1"/>
  <c r="P494" i="148" s="1"/>
  <c r="Q494" i="148" s="1"/>
  <c r="R494" i="148" s="1"/>
  <c r="S494" i="148" s="1"/>
  <c r="T494" i="148" s="1"/>
  <c r="U494" i="148" s="1"/>
  <c r="V494" i="148" s="1"/>
  <c r="W494" i="148" s="1"/>
  <c r="X494" i="148" s="1"/>
  <c r="Y494" i="148" s="1"/>
  <c r="Z494" i="148" s="1"/>
  <c r="AA494" i="148" s="1"/>
  <c r="AB494" i="148" s="1"/>
  <c r="AC494" i="148" s="1"/>
  <c r="AD494" i="148" s="1"/>
  <c r="AE494" i="148" s="1"/>
  <c r="AF494" i="148" s="1"/>
  <c r="F495" i="148"/>
  <c r="H495" i="148"/>
  <c r="I495" i="148" s="1"/>
  <c r="J495" i="148" s="1"/>
  <c r="K495" i="148" s="1"/>
  <c r="L495" i="148" s="1"/>
  <c r="M495" i="148" s="1"/>
  <c r="N495" i="148" s="1"/>
  <c r="O495" i="148" s="1"/>
  <c r="P495" i="148" s="1"/>
  <c r="Q495" i="148" s="1"/>
  <c r="R495" i="148" s="1"/>
  <c r="S495" i="148" s="1"/>
  <c r="T495" i="148" s="1"/>
  <c r="U495" i="148" s="1"/>
  <c r="V495" i="148" s="1"/>
  <c r="W495" i="148" s="1"/>
  <c r="X495" i="148" s="1"/>
  <c r="Y495" i="148" s="1"/>
  <c r="Z495" i="148" s="1"/>
  <c r="AA495" i="148" s="1"/>
  <c r="AB495" i="148" s="1"/>
  <c r="AC495" i="148" s="1"/>
  <c r="AD495" i="148" s="1"/>
  <c r="AE495" i="148" s="1"/>
  <c r="AF495" i="148" s="1"/>
  <c r="F496" i="148"/>
  <c r="H496" i="148"/>
  <c r="I496" i="148"/>
  <c r="J496" i="148" s="1"/>
  <c r="K496" i="148" s="1"/>
  <c r="L496" i="148" s="1"/>
  <c r="M496" i="148" s="1"/>
  <c r="N496" i="148" s="1"/>
  <c r="O496" i="148" s="1"/>
  <c r="P496" i="148" s="1"/>
  <c r="Q496" i="148" s="1"/>
  <c r="R496" i="148" s="1"/>
  <c r="S496" i="148" s="1"/>
  <c r="T496" i="148" s="1"/>
  <c r="U496" i="148" s="1"/>
  <c r="V496" i="148" s="1"/>
  <c r="W496" i="148" s="1"/>
  <c r="X496" i="148" s="1"/>
  <c r="Y496" i="148" s="1"/>
  <c r="Z496" i="148" s="1"/>
  <c r="AA496" i="148" s="1"/>
  <c r="AB496" i="148" s="1"/>
  <c r="AC496" i="148" s="1"/>
  <c r="AD496" i="148" s="1"/>
  <c r="AE496" i="148" s="1"/>
  <c r="AF496" i="148" s="1"/>
  <c r="F497" i="148"/>
  <c r="H497" i="148"/>
  <c r="I497" i="148"/>
  <c r="J497" i="148" s="1"/>
  <c r="K497" i="148" s="1"/>
  <c r="L497" i="148" s="1"/>
  <c r="M497" i="148" s="1"/>
  <c r="N497" i="148" s="1"/>
  <c r="O497" i="148" s="1"/>
  <c r="P497" i="148" s="1"/>
  <c r="Q497" i="148" s="1"/>
  <c r="R497" i="148" s="1"/>
  <c r="S497" i="148" s="1"/>
  <c r="T497" i="148" s="1"/>
  <c r="U497" i="148" s="1"/>
  <c r="V497" i="148" s="1"/>
  <c r="W497" i="148" s="1"/>
  <c r="X497" i="148" s="1"/>
  <c r="Y497" i="148" s="1"/>
  <c r="Z497" i="148" s="1"/>
  <c r="AA497" i="148" s="1"/>
  <c r="AB497" i="148" s="1"/>
  <c r="AC497" i="148" s="1"/>
  <c r="AD497" i="148" s="1"/>
  <c r="AE497" i="148" s="1"/>
  <c r="AF497" i="148" s="1"/>
  <c r="F498" i="148"/>
  <c r="H498" i="148"/>
  <c r="I498" i="148"/>
  <c r="J498" i="148" s="1"/>
  <c r="K498" i="148" s="1"/>
  <c r="L498" i="148" s="1"/>
  <c r="M498" i="148" s="1"/>
  <c r="N498" i="148" s="1"/>
  <c r="O498" i="148" s="1"/>
  <c r="P498" i="148" s="1"/>
  <c r="Q498" i="148" s="1"/>
  <c r="R498" i="148" s="1"/>
  <c r="S498" i="148" s="1"/>
  <c r="T498" i="148" s="1"/>
  <c r="U498" i="148" s="1"/>
  <c r="V498" i="148" s="1"/>
  <c r="W498" i="148" s="1"/>
  <c r="X498" i="148" s="1"/>
  <c r="Y498" i="148" s="1"/>
  <c r="Z498" i="148" s="1"/>
  <c r="AA498" i="148" s="1"/>
  <c r="AB498" i="148" s="1"/>
  <c r="AC498" i="148" s="1"/>
  <c r="AD498" i="148" s="1"/>
  <c r="AE498" i="148" s="1"/>
  <c r="AF498" i="148" s="1"/>
  <c r="F500" i="148"/>
  <c r="F499" i="148" s="1"/>
  <c r="H500" i="148"/>
  <c r="F503" i="148"/>
  <c r="F502" i="148" s="1"/>
  <c r="H503" i="148"/>
  <c r="I503" i="148"/>
  <c r="F504" i="148"/>
  <c r="H504" i="148"/>
  <c r="I504" i="148" s="1"/>
  <c r="J504" i="148"/>
  <c r="K504" i="148" s="1"/>
  <c r="L504" i="148" s="1"/>
  <c r="M504" i="148" s="1"/>
  <c r="N504" i="148" s="1"/>
  <c r="O504" i="148" s="1"/>
  <c r="P504" i="148" s="1"/>
  <c r="Q504" i="148" s="1"/>
  <c r="R504" i="148" s="1"/>
  <c r="S504" i="148" s="1"/>
  <c r="T504" i="148" s="1"/>
  <c r="U504" i="148" s="1"/>
  <c r="V504" i="148" s="1"/>
  <c r="W504" i="148" s="1"/>
  <c r="X504" i="148" s="1"/>
  <c r="Y504" i="148" s="1"/>
  <c r="Z504" i="148" s="1"/>
  <c r="AA504" i="148" s="1"/>
  <c r="AB504" i="148" s="1"/>
  <c r="AC504" i="148" s="1"/>
  <c r="AD504" i="148" s="1"/>
  <c r="AE504" i="148" s="1"/>
  <c r="AF504" i="148" s="1"/>
  <c r="F506" i="148"/>
  <c r="F505" i="148" s="1"/>
  <c r="H506" i="148"/>
  <c r="I506" i="148"/>
  <c r="F507" i="148"/>
  <c r="H507" i="148"/>
  <c r="I507" i="148" s="1"/>
  <c r="J507" i="148" s="1"/>
  <c r="K507" i="148" s="1"/>
  <c r="L507" i="148" s="1"/>
  <c r="M507" i="148" s="1"/>
  <c r="N507" i="148" s="1"/>
  <c r="O507" i="148" s="1"/>
  <c r="P507" i="148" s="1"/>
  <c r="Q507" i="148" s="1"/>
  <c r="R507" i="148" s="1"/>
  <c r="S507" i="148" s="1"/>
  <c r="T507" i="148" s="1"/>
  <c r="U507" i="148" s="1"/>
  <c r="V507" i="148" s="1"/>
  <c r="W507" i="148" s="1"/>
  <c r="X507" i="148" s="1"/>
  <c r="Y507" i="148" s="1"/>
  <c r="Z507" i="148" s="1"/>
  <c r="AA507" i="148" s="1"/>
  <c r="AB507" i="148" s="1"/>
  <c r="AC507" i="148" s="1"/>
  <c r="AD507" i="148" s="1"/>
  <c r="AE507" i="148" s="1"/>
  <c r="AF507" i="148" s="1"/>
  <c r="F509" i="148"/>
  <c r="F508" i="148" s="1"/>
  <c r="H509" i="148"/>
  <c r="H508" i="148" s="1"/>
  <c r="I509" i="148"/>
  <c r="I508" i="148" s="1"/>
  <c r="F511" i="148"/>
  <c r="H511" i="148"/>
  <c r="I511" i="148"/>
  <c r="F512" i="148"/>
  <c r="H512" i="148"/>
  <c r="I512" i="148"/>
  <c r="J512" i="148"/>
  <c r="K512" i="148" s="1"/>
  <c r="L512" i="148" s="1"/>
  <c r="M512" i="148" s="1"/>
  <c r="N512" i="148" s="1"/>
  <c r="O512" i="148" s="1"/>
  <c r="P512" i="148" s="1"/>
  <c r="Q512" i="148" s="1"/>
  <c r="R512" i="148" s="1"/>
  <c r="S512" i="148" s="1"/>
  <c r="T512" i="148" s="1"/>
  <c r="U512" i="148" s="1"/>
  <c r="V512" i="148" s="1"/>
  <c r="W512" i="148" s="1"/>
  <c r="X512" i="148" s="1"/>
  <c r="Y512" i="148" s="1"/>
  <c r="Z512" i="148" s="1"/>
  <c r="AA512" i="148" s="1"/>
  <c r="AB512" i="148" s="1"/>
  <c r="AC512" i="148" s="1"/>
  <c r="AD512" i="148" s="1"/>
  <c r="AE512" i="148" s="1"/>
  <c r="AF512" i="148" s="1"/>
  <c r="F515" i="148"/>
  <c r="F514" i="148" s="1"/>
  <c r="H515" i="148"/>
  <c r="F516" i="148"/>
  <c r="H516" i="148"/>
  <c r="I516" i="148" s="1"/>
  <c r="J516" i="148" s="1"/>
  <c r="K516" i="148" s="1"/>
  <c r="L516" i="148" s="1"/>
  <c r="M516" i="148" s="1"/>
  <c r="N516" i="148" s="1"/>
  <c r="O516" i="148" s="1"/>
  <c r="P516" i="148" s="1"/>
  <c r="Q516" i="148" s="1"/>
  <c r="R516" i="148" s="1"/>
  <c r="S516" i="148" s="1"/>
  <c r="T516" i="148" s="1"/>
  <c r="U516" i="148" s="1"/>
  <c r="V516" i="148" s="1"/>
  <c r="W516" i="148" s="1"/>
  <c r="X516" i="148" s="1"/>
  <c r="Y516" i="148" s="1"/>
  <c r="Z516" i="148" s="1"/>
  <c r="AA516" i="148" s="1"/>
  <c r="AB516" i="148" s="1"/>
  <c r="AC516" i="148" s="1"/>
  <c r="AD516" i="148" s="1"/>
  <c r="AE516" i="148" s="1"/>
  <c r="AF516" i="148" s="1"/>
  <c r="F518" i="148"/>
  <c r="F517" i="148" s="1"/>
  <c r="H518" i="148"/>
  <c r="H517" i="148" s="1"/>
  <c r="F519" i="148"/>
  <c r="H519" i="148"/>
  <c r="I519" i="148"/>
  <c r="J519" i="148" s="1"/>
  <c r="K519" i="148" s="1"/>
  <c r="L519" i="148" s="1"/>
  <c r="M519" i="148" s="1"/>
  <c r="N519" i="148" s="1"/>
  <c r="O519" i="148" s="1"/>
  <c r="P519" i="148" s="1"/>
  <c r="Q519" i="148" s="1"/>
  <c r="R519" i="148" s="1"/>
  <c r="S519" i="148" s="1"/>
  <c r="T519" i="148" s="1"/>
  <c r="U519" i="148" s="1"/>
  <c r="V519" i="148" s="1"/>
  <c r="W519" i="148" s="1"/>
  <c r="X519" i="148" s="1"/>
  <c r="Y519" i="148" s="1"/>
  <c r="Z519" i="148" s="1"/>
  <c r="AA519" i="148" s="1"/>
  <c r="AB519" i="148" s="1"/>
  <c r="AC519" i="148" s="1"/>
  <c r="AD519" i="148" s="1"/>
  <c r="AE519" i="148" s="1"/>
  <c r="AF519" i="148" s="1"/>
  <c r="F521" i="148"/>
  <c r="F520" i="148" s="1"/>
  <c r="H521" i="148"/>
  <c r="H520" i="148" s="1"/>
  <c r="F525" i="148"/>
  <c r="H525" i="148"/>
  <c r="I525" i="148" s="1"/>
  <c r="F526" i="148"/>
  <c r="H526" i="148"/>
  <c r="I526" i="148" s="1"/>
  <c r="J526" i="148" s="1"/>
  <c r="K526" i="148" s="1"/>
  <c r="L526" i="148" s="1"/>
  <c r="M526" i="148" s="1"/>
  <c r="N526" i="148" s="1"/>
  <c r="O526" i="148" s="1"/>
  <c r="P526" i="148" s="1"/>
  <c r="Q526" i="148" s="1"/>
  <c r="R526" i="148" s="1"/>
  <c r="S526" i="148" s="1"/>
  <c r="T526" i="148" s="1"/>
  <c r="U526" i="148" s="1"/>
  <c r="V526" i="148" s="1"/>
  <c r="W526" i="148" s="1"/>
  <c r="X526" i="148" s="1"/>
  <c r="Y526" i="148" s="1"/>
  <c r="Z526" i="148" s="1"/>
  <c r="AA526" i="148" s="1"/>
  <c r="AB526" i="148" s="1"/>
  <c r="AC526" i="148" s="1"/>
  <c r="AD526" i="148" s="1"/>
  <c r="AE526" i="148" s="1"/>
  <c r="AF526" i="148" s="1"/>
  <c r="F527" i="148"/>
  <c r="H527" i="148"/>
  <c r="I527" i="148"/>
  <c r="J527" i="148" s="1"/>
  <c r="K527" i="148" s="1"/>
  <c r="L527" i="148" s="1"/>
  <c r="M527" i="148" s="1"/>
  <c r="N527" i="148" s="1"/>
  <c r="O527" i="148" s="1"/>
  <c r="P527" i="148" s="1"/>
  <c r="Q527" i="148" s="1"/>
  <c r="R527" i="148" s="1"/>
  <c r="S527" i="148" s="1"/>
  <c r="T527" i="148" s="1"/>
  <c r="U527" i="148" s="1"/>
  <c r="V527" i="148" s="1"/>
  <c r="W527" i="148" s="1"/>
  <c r="X527" i="148" s="1"/>
  <c r="Y527" i="148" s="1"/>
  <c r="Z527" i="148" s="1"/>
  <c r="AA527" i="148" s="1"/>
  <c r="AB527" i="148" s="1"/>
  <c r="AC527" i="148" s="1"/>
  <c r="AD527" i="148" s="1"/>
  <c r="AE527" i="148" s="1"/>
  <c r="AF527" i="148" s="1"/>
  <c r="F528" i="148"/>
  <c r="H528" i="148"/>
  <c r="I528" i="148" s="1"/>
  <c r="J528" i="148" s="1"/>
  <c r="K528" i="148" s="1"/>
  <c r="L528" i="148" s="1"/>
  <c r="M528" i="148" s="1"/>
  <c r="N528" i="148" s="1"/>
  <c r="O528" i="148" s="1"/>
  <c r="P528" i="148" s="1"/>
  <c r="Q528" i="148" s="1"/>
  <c r="R528" i="148" s="1"/>
  <c r="S528" i="148" s="1"/>
  <c r="T528" i="148" s="1"/>
  <c r="U528" i="148" s="1"/>
  <c r="V528" i="148" s="1"/>
  <c r="W528" i="148" s="1"/>
  <c r="X528" i="148" s="1"/>
  <c r="Y528" i="148" s="1"/>
  <c r="Z528" i="148" s="1"/>
  <c r="AA528" i="148" s="1"/>
  <c r="AB528" i="148" s="1"/>
  <c r="AC528" i="148" s="1"/>
  <c r="AD528" i="148" s="1"/>
  <c r="AE528" i="148" s="1"/>
  <c r="AF528" i="148" s="1"/>
  <c r="F530" i="148"/>
  <c r="H530" i="148"/>
  <c r="I530" i="148" s="1"/>
  <c r="F531" i="148"/>
  <c r="H531" i="148"/>
  <c r="I531" i="148" s="1"/>
  <c r="J531" i="148" s="1"/>
  <c r="K531" i="148" s="1"/>
  <c r="L531" i="148" s="1"/>
  <c r="M531" i="148" s="1"/>
  <c r="N531" i="148" s="1"/>
  <c r="O531" i="148" s="1"/>
  <c r="P531" i="148" s="1"/>
  <c r="Q531" i="148" s="1"/>
  <c r="R531" i="148" s="1"/>
  <c r="S531" i="148" s="1"/>
  <c r="T531" i="148" s="1"/>
  <c r="U531" i="148" s="1"/>
  <c r="V531" i="148" s="1"/>
  <c r="W531" i="148" s="1"/>
  <c r="X531" i="148" s="1"/>
  <c r="Y531" i="148" s="1"/>
  <c r="Z531" i="148" s="1"/>
  <c r="AA531" i="148" s="1"/>
  <c r="AB531" i="148" s="1"/>
  <c r="AC531" i="148" s="1"/>
  <c r="AD531" i="148" s="1"/>
  <c r="AE531" i="148" s="1"/>
  <c r="AF531" i="148" s="1"/>
  <c r="F534" i="148"/>
  <c r="H534" i="148"/>
  <c r="I534" i="148" s="1"/>
  <c r="F535" i="148"/>
  <c r="H535" i="148"/>
  <c r="I535" i="148" s="1"/>
  <c r="J535" i="148" s="1"/>
  <c r="K535" i="148" s="1"/>
  <c r="L535" i="148" s="1"/>
  <c r="M535" i="148" s="1"/>
  <c r="N535" i="148" s="1"/>
  <c r="O535" i="148" s="1"/>
  <c r="P535" i="148" s="1"/>
  <c r="Q535" i="148" s="1"/>
  <c r="R535" i="148" s="1"/>
  <c r="S535" i="148" s="1"/>
  <c r="T535" i="148" s="1"/>
  <c r="U535" i="148" s="1"/>
  <c r="V535" i="148" s="1"/>
  <c r="W535" i="148" s="1"/>
  <c r="X535" i="148" s="1"/>
  <c r="Y535" i="148" s="1"/>
  <c r="Z535" i="148" s="1"/>
  <c r="AA535" i="148" s="1"/>
  <c r="AB535" i="148" s="1"/>
  <c r="AC535" i="148" s="1"/>
  <c r="AD535" i="148" s="1"/>
  <c r="AE535" i="148" s="1"/>
  <c r="AF535" i="148" s="1"/>
  <c r="F536" i="148"/>
  <c r="H536" i="148"/>
  <c r="I536" i="148"/>
  <c r="J536" i="148" s="1"/>
  <c r="K536" i="148" s="1"/>
  <c r="L536" i="148" s="1"/>
  <c r="M536" i="148" s="1"/>
  <c r="N536" i="148" s="1"/>
  <c r="O536" i="148" s="1"/>
  <c r="P536" i="148" s="1"/>
  <c r="Q536" i="148" s="1"/>
  <c r="R536" i="148" s="1"/>
  <c r="S536" i="148" s="1"/>
  <c r="T536" i="148" s="1"/>
  <c r="U536" i="148" s="1"/>
  <c r="V536" i="148" s="1"/>
  <c r="W536" i="148" s="1"/>
  <c r="X536" i="148" s="1"/>
  <c r="Y536" i="148" s="1"/>
  <c r="Z536" i="148" s="1"/>
  <c r="AA536" i="148" s="1"/>
  <c r="AB536" i="148" s="1"/>
  <c r="AC536" i="148" s="1"/>
  <c r="AD536" i="148" s="1"/>
  <c r="AE536" i="148" s="1"/>
  <c r="AF536" i="148" s="1"/>
  <c r="F537" i="148"/>
  <c r="H537" i="148"/>
  <c r="I537" i="148" s="1"/>
  <c r="J537" i="148" s="1"/>
  <c r="K537" i="148" s="1"/>
  <c r="L537" i="148" s="1"/>
  <c r="M537" i="148" s="1"/>
  <c r="N537" i="148" s="1"/>
  <c r="O537" i="148" s="1"/>
  <c r="P537" i="148" s="1"/>
  <c r="Q537" i="148" s="1"/>
  <c r="R537" i="148" s="1"/>
  <c r="S537" i="148" s="1"/>
  <c r="T537" i="148" s="1"/>
  <c r="U537" i="148" s="1"/>
  <c r="V537" i="148" s="1"/>
  <c r="W537" i="148" s="1"/>
  <c r="X537" i="148" s="1"/>
  <c r="Y537" i="148" s="1"/>
  <c r="Z537" i="148" s="1"/>
  <c r="AA537" i="148" s="1"/>
  <c r="AB537" i="148" s="1"/>
  <c r="AC537" i="148" s="1"/>
  <c r="AD537" i="148" s="1"/>
  <c r="AE537" i="148" s="1"/>
  <c r="AF537" i="148" s="1"/>
  <c r="F540" i="148"/>
  <c r="H540" i="148"/>
  <c r="I540" i="148" s="1"/>
  <c r="F541" i="148"/>
  <c r="H541" i="148"/>
  <c r="I541" i="148" s="1"/>
  <c r="J541" i="148" s="1"/>
  <c r="K541" i="148" s="1"/>
  <c r="L541" i="148" s="1"/>
  <c r="M541" i="148" s="1"/>
  <c r="N541" i="148" s="1"/>
  <c r="O541" i="148" s="1"/>
  <c r="P541" i="148" s="1"/>
  <c r="Q541" i="148" s="1"/>
  <c r="R541" i="148" s="1"/>
  <c r="S541" i="148" s="1"/>
  <c r="T541" i="148" s="1"/>
  <c r="U541" i="148" s="1"/>
  <c r="V541" i="148" s="1"/>
  <c r="W541" i="148" s="1"/>
  <c r="X541" i="148" s="1"/>
  <c r="Y541" i="148" s="1"/>
  <c r="Z541" i="148" s="1"/>
  <c r="AA541" i="148" s="1"/>
  <c r="AB541" i="148" s="1"/>
  <c r="AC541" i="148" s="1"/>
  <c r="AD541" i="148" s="1"/>
  <c r="AE541" i="148" s="1"/>
  <c r="AF541" i="148" s="1"/>
  <c r="F542" i="148"/>
  <c r="H542" i="148"/>
  <c r="I542" i="148"/>
  <c r="J542" i="148" s="1"/>
  <c r="K542" i="148" s="1"/>
  <c r="L542" i="148" s="1"/>
  <c r="M542" i="148" s="1"/>
  <c r="N542" i="148" s="1"/>
  <c r="O542" i="148" s="1"/>
  <c r="P542" i="148" s="1"/>
  <c r="Q542" i="148" s="1"/>
  <c r="R542" i="148" s="1"/>
  <c r="S542" i="148" s="1"/>
  <c r="T542" i="148" s="1"/>
  <c r="U542" i="148" s="1"/>
  <c r="V542" i="148" s="1"/>
  <c r="W542" i="148" s="1"/>
  <c r="X542" i="148" s="1"/>
  <c r="Y542" i="148" s="1"/>
  <c r="Z542" i="148" s="1"/>
  <c r="AA542" i="148" s="1"/>
  <c r="AB542" i="148" s="1"/>
  <c r="AC542" i="148" s="1"/>
  <c r="AD542" i="148" s="1"/>
  <c r="AE542" i="148" s="1"/>
  <c r="AF542" i="148" s="1"/>
  <c r="F543" i="148"/>
  <c r="H543" i="148"/>
  <c r="I543" i="148" s="1"/>
  <c r="J543" i="148" s="1"/>
  <c r="K543" i="148" s="1"/>
  <c r="L543" i="148" s="1"/>
  <c r="M543" i="148" s="1"/>
  <c r="N543" i="148" s="1"/>
  <c r="O543" i="148" s="1"/>
  <c r="P543" i="148" s="1"/>
  <c r="Q543" i="148" s="1"/>
  <c r="R543" i="148" s="1"/>
  <c r="S543" i="148" s="1"/>
  <c r="T543" i="148" s="1"/>
  <c r="U543" i="148" s="1"/>
  <c r="V543" i="148" s="1"/>
  <c r="W543" i="148" s="1"/>
  <c r="X543" i="148" s="1"/>
  <c r="Y543" i="148" s="1"/>
  <c r="Z543" i="148" s="1"/>
  <c r="AA543" i="148" s="1"/>
  <c r="AB543" i="148" s="1"/>
  <c r="AC543" i="148" s="1"/>
  <c r="AD543" i="148" s="1"/>
  <c r="AE543" i="148" s="1"/>
  <c r="AF543" i="148" s="1"/>
  <c r="F546" i="148"/>
  <c r="H546" i="148"/>
  <c r="I546" i="148" s="1"/>
  <c r="F547" i="148"/>
  <c r="H547" i="148"/>
  <c r="I547" i="148" s="1"/>
  <c r="J547" i="148" s="1"/>
  <c r="K547" i="148" s="1"/>
  <c r="L547" i="148" s="1"/>
  <c r="M547" i="148" s="1"/>
  <c r="N547" i="148" s="1"/>
  <c r="O547" i="148" s="1"/>
  <c r="P547" i="148" s="1"/>
  <c r="Q547" i="148" s="1"/>
  <c r="R547" i="148" s="1"/>
  <c r="S547" i="148" s="1"/>
  <c r="T547" i="148" s="1"/>
  <c r="U547" i="148" s="1"/>
  <c r="V547" i="148" s="1"/>
  <c r="W547" i="148" s="1"/>
  <c r="X547" i="148" s="1"/>
  <c r="Y547" i="148" s="1"/>
  <c r="Z547" i="148" s="1"/>
  <c r="AA547" i="148" s="1"/>
  <c r="AB547" i="148" s="1"/>
  <c r="AC547" i="148" s="1"/>
  <c r="AD547" i="148" s="1"/>
  <c r="AE547" i="148" s="1"/>
  <c r="AF547" i="148" s="1"/>
  <c r="F548" i="148"/>
  <c r="H548" i="148"/>
  <c r="I548" i="148"/>
  <c r="J548" i="148" s="1"/>
  <c r="K548" i="148" s="1"/>
  <c r="L548" i="148" s="1"/>
  <c r="M548" i="148" s="1"/>
  <c r="N548" i="148" s="1"/>
  <c r="O548" i="148" s="1"/>
  <c r="P548" i="148" s="1"/>
  <c r="Q548" i="148" s="1"/>
  <c r="R548" i="148" s="1"/>
  <c r="S548" i="148" s="1"/>
  <c r="T548" i="148" s="1"/>
  <c r="U548" i="148" s="1"/>
  <c r="V548" i="148" s="1"/>
  <c r="W548" i="148" s="1"/>
  <c r="X548" i="148" s="1"/>
  <c r="Y548" i="148" s="1"/>
  <c r="Z548" i="148" s="1"/>
  <c r="AA548" i="148" s="1"/>
  <c r="AB548" i="148" s="1"/>
  <c r="AC548" i="148" s="1"/>
  <c r="AD548" i="148" s="1"/>
  <c r="AE548" i="148" s="1"/>
  <c r="AF548" i="148" s="1"/>
  <c r="F549" i="148"/>
  <c r="H549" i="148"/>
  <c r="I549" i="148" s="1"/>
  <c r="J549" i="148" s="1"/>
  <c r="K549" i="148" s="1"/>
  <c r="L549" i="148" s="1"/>
  <c r="M549" i="148" s="1"/>
  <c r="N549" i="148" s="1"/>
  <c r="O549" i="148" s="1"/>
  <c r="P549" i="148" s="1"/>
  <c r="Q549" i="148" s="1"/>
  <c r="R549" i="148" s="1"/>
  <c r="S549" i="148" s="1"/>
  <c r="T549" i="148" s="1"/>
  <c r="U549" i="148" s="1"/>
  <c r="V549" i="148" s="1"/>
  <c r="W549" i="148" s="1"/>
  <c r="X549" i="148" s="1"/>
  <c r="Y549" i="148" s="1"/>
  <c r="Z549" i="148" s="1"/>
  <c r="AA549" i="148" s="1"/>
  <c r="AB549" i="148" s="1"/>
  <c r="AC549" i="148" s="1"/>
  <c r="AD549" i="148" s="1"/>
  <c r="AE549" i="148" s="1"/>
  <c r="AF549" i="148" s="1"/>
  <c r="F552" i="148"/>
  <c r="H552" i="148"/>
  <c r="I552" i="148" s="1"/>
  <c r="F553" i="148"/>
  <c r="H553" i="148"/>
  <c r="I553" i="148" s="1"/>
  <c r="J553" i="148" s="1"/>
  <c r="K553" i="148" s="1"/>
  <c r="L553" i="148" s="1"/>
  <c r="M553" i="148" s="1"/>
  <c r="N553" i="148" s="1"/>
  <c r="O553" i="148" s="1"/>
  <c r="P553" i="148" s="1"/>
  <c r="Q553" i="148" s="1"/>
  <c r="R553" i="148" s="1"/>
  <c r="S553" i="148" s="1"/>
  <c r="T553" i="148" s="1"/>
  <c r="U553" i="148" s="1"/>
  <c r="V553" i="148" s="1"/>
  <c r="W553" i="148" s="1"/>
  <c r="X553" i="148" s="1"/>
  <c r="Y553" i="148" s="1"/>
  <c r="Z553" i="148" s="1"/>
  <c r="AA553" i="148" s="1"/>
  <c r="AB553" i="148" s="1"/>
  <c r="AC553" i="148" s="1"/>
  <c r="AD553" i="148" s="1"/>
  <c r="AE553" i="148" s="1"/>
  <c r="AF553" i="148" s="1"/>
  <c r="F554" i="148"/>
  <c r="H554" i="148"/>
  <c r="I554" i="148"/>
  <c r="J554" i="148" s="1"/>
  <c r="K554" i="148" s="1"/>
  <c r="L554" i="148" s="1"/>
  <c r="M554" i="148" s="1"/>
  <c r="N554" i="148" s="1"/>
  <c r="O554" i="148" s="1"/>
  <c r="P554" i="148" s="1"/>
  <c r="Q554" i="148" s="1"/>
  <c r="R554" i="148" s="1"/>
  <c r="S554" i="148" s="1"/>
  <c r="T554" i="148" s="1"/>
  <c r="U554" i="148" s="1"/>
  <c r="V554" i="148" s="1"/>
  <c r="W554" i="148" s="1"/>
  <c r="X554" i="148" s="1"/>
  <c r="Y554" i="148" s="1"/>
  <c r="Z554" i="148" s="1"/>
  <c r="AA554" i="148" s="1"/>
  <c r="AB554" i="148" s="1"/>
  <c r="AC554" i="148" s="1"/>
  <c r="AD554" i="148" s="1"/>
  <c r="AE554" i="148" s="1"/>
  <c r="AF554" i="148" s="1"/>
  <c r="F557" i="148"/>
  <c r="H557" i="148"/>
  <c r="F558" i="148"/>
  <c r="H558" i="148"/>
  <c r="I558" i="148" s="1"/>
  <c r="J558" i="148" s="1"/>
  <c r="K558" i="148" s="1"/>
  <c r="L558" i="148" s="1"/>
  <c r="M558" i="148" s="1"/>
  <c r="N558" i="148" s="1"/>
  <c r="O558" i="148" s="1"/>
  <c r="P558" i="148" s="1"/>
  <c r="Q558" i="148" s="1"/>
  <c r="R558" i="148" s="1"/>
  <c r="S558" i="148" s="1"/>
  <c r="T558" i="148" s="1"/>
  <c r="U558" i="148" s="1"/>
  <c r="V558" i="148" s="1"/>
  <c r="W558" i="148" s="1"/>
  <c r="X558" i="148" s="1"/>
  <c r="Y558" i="148" s="1"/>
  <c r="Z558" i="148" s="1"/>
  <c r="AA558" i="148" s="1"/>
  <c r="AB558" i="148" s="1"/>
  <c r="AC558" i="148" s="1"/>
  <c r="AD558" i="148" s="1"/>
  <c r="AE558" i="148" s="1"/>
  <c r="AF558" i="148" s="1"/>
  <c r="F559" i="148"/>
  <c r="H559" i="148"/>
  <c r="I559" i="148" s="1"/>
  <c r="J559" i="148" s="1"/>
  <c r="K559" i="148" s="1"/>
  <c r="L559" i="148" s="1"/>
  <c r="M559" i="148" s="1"/>
  <c r="N559" i="148" s="1"/>
  <c r="O559" i="148" s="1"/>
  <c r="P559" i="148" s="1"/>
  <c r="Q559" i="148" s="1"/>
  <c r="R559" i="148" s="1"/>
  <c r="S559" i="148" s="1"/>
  <c r="T559" i="148" s="1"/>
  <c r="U559" i="148" s="1"/>
  <c r="V559" i="148" s="1"/>
  <c r="W559" i="148" s="1"/>
  <c r="X559" i="148" s="1"/>
  <c r="Y559" i="148" s="1"/>
  <c r="Z559" i="148" s="1"/>
  <c r="AA559" i="148" s="1"/>
  <c r="AB559" i="148" s="1"/>
  <c r="AC559" i="148" s="1"/>
  <c r="AD559" i="148" s="1"/>
  <c r="AE559" i="148" s="1"/>
  <c r="AF559" i="148" s="1"/>
  <c r="F560" i="148"/>
  <c r="H560" i="148"/>
  <c r="I560" i="148"/>
  <c r="J560" i="148" s="1"/>
  <c r="K560" i="148" s="1"/>
  <c r="L560" i="148" s="1"/>
  <c r="M560" i="148" s="1"/>
  <c r="N560" i="148" s="1"/>
  <c r="O560" i="148" s="1"/>
  <c r="P560" i="148" s="1"/>
  <c r="Q560" i="148" s="1"/>
  <c r="R560" i="148" s="1"/>
  <c r="S560" i="148" s="1"/>
  <c r="T560" i="148" s="1"/>
  <c r="U560" i="148" s="1"/>
  <c r="V560" i="148" s="1"/>
  <c r="W560" i="148" s="1"/>
  <c r="X560" i="148" s="1"/>
  <c r="Y560" i="148" s="1"/>
  <c r="Z560" i="148" s="1"/>
  <c r="AA560" i="148" s="1"/>
  <c r="AB560" i="148" s="1"/>
  <c r="AC560" i="148" s="1"/>
  <c r="AD560" i="148" s="1"/>
  <c r="AE560" i="148" s="1"/>
  <c r="AF560" i="148" s="1"/>
  <c r="F561" i="148"/>
  <c r="H561" i="148"/>
  <c r="I561" i="148" s="1"/>
  <c r="J561" i="148" s="1"/>
  <c r="K561" i="148" s="1"/>
  <c r="L561" i="148" s="1"/>
  <c r="M561" i="148" s="1"/>
  <c r="N561" i="148" s="1"/>
  <c r="O561" i="148" s="1"/>
  <c r="P561" i="148" s="1"/>
  <c r="Q561" i="148" s="1"/>
  <c r="R561" i="148" s="1"/>
  <c r="S561" i="148" s="1"/>
  <c r="T561" i="148" s="1"/>
  <c r="U561" i="148" s="1"/>
  <c r="V561" i="148" s="1"/>
  <c r="W561" i="148" s="1"/>
  <c r="X561" i="148" s="1"/>
  <c r="Y561" i="148" s="1"/>
  <c r="Z561" i="148" s="1"/>
  <c r="AA561" i="148" s="1"/>
  <c r="AB561" i="148" s="1"/>
  <c r="AC561" i="148" s="1"/>
  <c r="AD561" i="148" s="1"/>
  <c r="AE561" i="148" s="1"/>
  <c r="AF561" i="148" s="1"/>
  <c r="F565" i="148"/>
  <c r="H565" i="148"/>
  <c r="I565" i="148" s="1"/>
  <c r="F566" i="148"/>
  <c r="H566" i="148"/>
  <c r="I566" i="148" s="1"/>
  <c r="J566" i="148" s="1"/>
  <c r="K566" i="148" s="1"/>
  <c r="L566" i="148" s="1"/>
  <c r="M566" i="148" s="1"/>
  <c r="N566" i="148" s="1"/>
  <c r="O566" i="148" s="1"/>
  <c r="P566" i="148" s="1"/>
  <c r="Q566" i="148" s="1"/>
  <c r="R566" i="148" s="1"/>
  <c r="S566" i="148" s="1"/>
  <c r="T566" i="148" s="1"/>
  <c r="U566" i="148" s="1"/>
  <c r="V566" i="148" s="1"/>
  <c r="W566" i="148" s="1"/>
  <c r="X566" i="148" s="1"/>
  <c r="Y566" i="148" s="1"/>
  <c r="Z566" i="148" s="1"/>
  <c r="AA566" i="148" s="1"/>
  <c r="AB566" i="148" s="1"/>
  <c r="AC566" i="148" s="1"/>
  <c r="AD566" i="148" s="1"/>
  <c r="AE566" i="148" s="1"/>
  <c r="AF566" i="148" s="1"/>
  <c r="F567" i="148"/>
  <c r="H567" i="148"/>
  <c r="I567" i="148"/>
  <c r="J567" i="148" s="1"/>
  <c r="K567" i="148" s="1"/>
  <c r="L567" i="148" s="1"/>
  <c r="M567" i="148" s="1"/>
  <c r="N567" i="148" s="1"/>
  <c r="O567" i="148" s="1"/>
  <c r="P567" i="148" s="1"/>
  <c r="Q567" i="148" s="1"/>
  <c r="R567" i="148" s="1"/>
  <c r="S567" i="148" s="1"/>
  <c r="T567" i="148" s="1"/>
  <c r="U567" i="148" s="1"/>
  <c r="V567" i="148" s="1"/>
  <c r="W567" i="148" s="1"/>
  <c r="X567" i="148" s="1"/>
  <c r="Y567" i="148" s="1"/>
  <c r="Z567" i="148" s="1"/>
  <c r="AA567" i="148" s="1"/>
  <c r="AB567" i="148" s="1"/>
  <c r="AC567" i="148" s="1"/>
  <c r="AD567" i="148" s="1"/>
  <c r="AE567" i="148" s="1"/>
  <c r="AF567" i="148" s="1"/>
  <c r="F568" i="148"/>
  <c r="H568" i="148"/>
  <c r="I568" i="148" s="1"/>
  <c r="J568" i="148" s="1"/>
  <c r="K568" i="148" s="1"/>
  <c r="L568" i="148" s="1"/>
  <c r="M568" i="148" s="1"/>
  <c r="N568" i="148" s="1"/>
  <c r="O568" i="148" s="1"/>
  <c r="P568" i="148" s="1"/>
  <c r="Q568" i="148" s="1"/>
  <c r="R568" i="148" s="1"/>
  <c r="S568" i="148" s="1"/>
  <c r="T568" i="148" s="1"/>
  <c r="U568" i="148" s="1"/>
  <c r="V568" i="148" s="1"/>
  <c r="W568" i="148" s="1"/>
  <c r="X568" i="148" s="1"/>
  <c r="Y568" i="148" s="1"/>
  <c r="Z568" i="148" s="1"/>
  <c r="AA568" i="148" s="1"/>
  <c r="AB568" i="148" s="1"/>
  <c r="AC568" i="148" s="1"/>
  <c r="AD568" i="148" s="1"/>
  <c r="AE568" i="148" s="1"/>
  <c r="AF568" i="148" s="1"/>
  <c r="F569" i="148"/>
  <c r="H569" i="148"/>
  <c r="I569" i="148" s="1"/>
  <c r="J569" i="148" s="1"/>
  <c r="K569" i="148" s="1"/>
  <c r="L569" i="148" s="1"/>
  <c r="M569" i="148" s="1"/>
  <c r="N569" i="148" s="1"/>
  <c r="O569" i="148" s="1"/>
  <c r="P569" i="148" s="1"/>
  <c r="Q569" i="148" s="1"/>
  <c r="R569" i="148" s="1"/>
  <c r="S569" i="148" s="1"/>
  <c r="T569" i="148" s="1"/>
  <c r="U569" i="148" s="1"/>
  <c r="V569" i="148" s="1"/>
  <c r="W569" i="148" s="1"/>
  <c r="X569" i="148" s="1"/>
  <c r="Y569" i="148" s="1"/>
  <c r="Z569" i="148" s="1"/>
  <c r="AA569" i="148" s="1"/>
  <c r="AB569" i="148" s="1"/>
  <c r="AC569" i="148" s="1"/>
  <c r="AD569" i="148" s="1"/>
  <c r="AE569" i="148" s="1"/>
  <c r="AF569" i="148" s="1"/>
  <c r="F570" i="148"/>
  <c r="H570" i="148"/>
  <c r="I570" i="148" s="1"/>
  <c r="J570" i="148" s="1"/>
  <c r="K570" i="148" s="1"/>
  <c r="L570" i="148" s="1"/>
  <c r="M570" i="148" s="1"/>
  <c r="N570" i="148" s="1"/>
  <c r="O570" i="148" s="1"/>
  <c r="P570" i="148" s="1"/>
  <c r="Q570" i="148" s="1"/>
  <c r="R570" i="148" s="1"/>
  <c r="S570" i="148" s="1"/>
  <c r="T570" i="148" s="1"/>
  <c r="U570" i="148" s="1"/>
  <c r="V570" i="148" s="1"/>
  <c r="W570" i="148" s="1"/>
  <c r="X570" i="148" s="1"/>
  <c r="Y570" i="148" s="1"/>
  <c r="Z570" i="148" s="1"/>
  <c r="AA570" i="148" s="1"/>
  <c r="AB570" i="148" s="1"/>
  <c r="AC570" i="148" s="1"/>
  <c r="AD570" i="148" s="1"/>
  <c r="AE570" i="148" s="1"/>
  <c r="AF570" i="148" s="1"/>
  <c r="F571" i="148"/>
  <c r="H571" i="148"/>
  <c r="I571" i="148"/>
  <c r="J571" i="148" s="1"/>
  <c r="K571" i="148" s="1"/>
  <c r="L571" i="148" s="1"/>
  <c r="M571" i="148" s="1"/>
  <c r="N571" i="148" s="1"/>
  <c r="O571" i="148" s="1"/>
  <c r="P571" i="148" s="1"/>
  <c r="Q571" i="148" s="1"/>
  <c r="R571" i="148" s="1"/>
  <c r="S571" i="148" s="1"/>
  <c r="T571" i="148" s="1"/>
  <c r="U571" i="148" s="1"/>
  <c r="V571" i="148" s="1"/>
  <c r="W571" i="148" s="1"/>
  <c r="X571" i="148" s="1"/>
  <c r="Y571" i="148" s="1"/>
  <c r="Z571" i="148" s="1"/>
  <c r="AA571" i="148" s="1"/>
  <c r="AB571" i="148" s="1"/>
  <c r="AC571" i="148" s="1"/>
  <c r="AD571" i="148" s="1"/>
  <c r="AE571" i="148" s="1"/>
  <c r="AF571" i="148" s="1"/>
  <c r="F574" i="148"/>
  <c r="H574" i="148"/>
  <c r="H573" i="148" s="1"/>
  <c r="H572" i="148" s="1"/>
  <c r="F575" i="148"/>
  <c r="H575" i="148"/>
  <c r="I575" i="148" s="1"/>
  <c r="J575" i="148" s="1"/>
  <c r="K575" i="148" s="1"/>
  <c r="L575" i="148" s="1"/>
  <c r="M575" i="148" s="1"/>
  <c r="N575" i="148" s="1"/>
  <c r="O575" i="148" s="1"/>
  <c r="P575" i="148" s="1"/>
  <c r="Q575" i="148" s="1"/>
  <c r="R575" i="148" s="1"/>
  <c r="S575" i="148" s="1"/>
  <c r="T575" i="148" s="1"/>
  <c r="U575" i="148" s="1"/>
  <c r="V575" i="148" s="1"/>
  <c r="W575" i="148" s="1"/>
  <c r="X575" i="148" s="1"/>
  <c r="Y575" i="148" s="1"/>
  <c r="Z575" i="148" s="1"/>
  <c r="AA575" i="148" s="1"/>
  <c r="AB575" i="148" s="1"/>
  <c r="AC575" i="148" s="1"/>
  <c r="AD575" i="148" s="1"/>
  <c r="AE575" i="148" s="1"/>
  <c r="AF575" i="148" s="1"/>
  <c r="F578" i="148"/>
  <c r="H578" i="148"/>
  <c r="F579" i="148"/>
  <c r="H579" i="148"/>
  <c r="I579" i="148"/>
  <c r="J579" i="148" s="1"/>
  <c r="K579" i="148" s="1"/>
  <c r="L579" i="148" s="1"/>
  <c r="M579" i="148" s="1"/>
  <c r="N579" i="148" s="1"/>
  <c r="O579" i="148" s="1"/>
  <c r="P579" i="148" s="1"/>
  <c r="Q579" i="148" s="1"/>
  <c r="R579" i="148" s="1"/>
  <c r="S579" i="148" s="1"/>
  <c r="T579" i="148" s="1"/>
  <c r="U579" i="148" s="1"/>
  <c r="V579" i="148" s="1"/>
  <c r="W579" i="148" s="1"/>
  <c r="X579" i="148" s="1"/>
  <c r="Y579" i="148" s="1"/>
  <c r="Z579" i="148" s="1"/>
  <c r="AA579" i="148" s="1"/>
  <c r="AB579" i="148" s="1"/>
  <c r="AC579" i="148" s="1"/>
  <c r="AD579" i="148" s="1"/>
  <c r="AE579" i="148" s="1"/>
  <c r="AF579" i="148" s="1"/>
  <c r="F583" i="148"/>
  <c r="F582" i="148" s="1"/>
  <c r="H583" i="148"/>
  <c r="H582" i="148" s="1"/>
  <c r="H584" i="148"/>
  <c r="F585" i="148"/>
  <c r="F584" i="148" s="1"/>
  <c r="H585" i="148"/>
  <c r="I585" i="148" s="1"/>
  <c r="I584" i="148" s="1"/>
  <c r="F587" i="148"/>
  <c r="F588" i="148"/>
  <c r="H588" i="148"/>
  <c r="H587" i="148" s="1"/>
  <c r="F590" i="148"/>
  <c r="H590" i="148"/>
  <c r="I590" i="148" s="1"/>
  <c r="F591" i="148"/>
  <c r="H591" i="148"/>
  <c r="I591" i="148" s="1"/>
  <c r="J591" i="148" s="1"/>
  <c r="K591" i="148" s="1"/>
  <c r="L591" i="148" s="1"/>
  <c r="M591" i="148" s="1"/>
  <c r="N591" i="148" s="1"/>
  <c r="O591" i="148" s="1"/>
  <c r="P591" i="148" s="1"/>
  <c r="Q591" i="148" s="1"/>
  <c r="R591" i="148" s="1"/>
  <c r="S591" i="148" s="1"/>
  <c r="T591" i="148" s="1"/>
  <c r="U591" i="148" s="1"/>
  <c r="V591" i="148" s="1"/>
  <c r="W591" i="148" s="1"/>
  <c r="X591" i="148" s="1"/>
  <c r="Y591" i="148" s="1"/>
  <c r="Z591" i="148" s="1"/>
  <c r="AA591" i="148" s="1"/>
  <c r="AB591" i="148" s="1"/>
  <c r="AC591" i="148" s="1"/>
  <c r="AD591" i="148" s="1"/>
  <c r="AE591" i="148" s="1"/>
  <c r="AF591" i="148" s="1"/>
  <c r="F592" i="148"/>
  <c r="H592" i="148"/>
  <c r="I592" i="148"/>
  <c r="J592" i="148" s="1"/>
  <c r="K592" i="148" s="1"/>
  <c r="L592" i="148" s="1"/>
  <c r="M592" i="148" s="1"/>
  <c r="N592" i="148" s="1"/>
  <c r="O592" i="148" s="1"/>
  <c r="P592" i="148" s="1"/>
  <c r="Q592" i="148" s="1"/>
  <c r="R592" i="148" s="1"/>
  <c r="S592" i="148" s="1"/>
  <c r="T592" i="148" s="1"/>
  <c r="U592" i="148" s="1"/>
  <c r="V592" i="148" s="1"/>
  <c r="W592" i="148" s="1"/>
  <c r="X592" i="148" s="1"/>
  <c r="Y592" i="148" s="1"/>
  <c r="Z592" i="148" s="1"/>
  <c r="AA592" i="148" s="1"/>
  <c r="AB592" i="148" s="1"/>
  <c r="AC592" i="148" s="1"/>
  <c r="AD592" i="148" s="1"/>
  <c r="AE592" i="148" s="1"/>
  <c r="AF592" i="148" s="1"/>
  <c r="F594" i="148"/>
  <c r="F593" i="148" s="1"/>
  <c r="H594" i="148"/>
  <c r="H593" i="148" s="1"/>
  <c r="F597" i="148"/>
  <c r="F596" i="148" s="1"/>
  <c r="H597" i="148"/>
  <c r="H596" i="148" s="1"/>
  <c r="F599" i="148"/>
  <c r="H599" i="148"/>
  <c r="F600" i="148"/>
  <c r="H600" i="148"/>
  <c r="I600" i="148" s="1"/>
  <c r="J600" i="148" s="1"/>
  <c r="K600" i="148" s="1"/>
  <c r="L600" i="148" s="1"/>
  <c r="M600" i="148" s="1"/>
  <c r="N600" i="148" s="1"/>
  <c r="O600" i="148" s="1"/>
  <c r="P600" i="148" s="1"/>
  <c r="Q600" i="148" s="1"/>
  <c r="R600" i="148" s="1"/>
  <c r="S600" i="148" s="1"/>
  <c r="T600" i="148" s="1"/>
  <c r="U600" i="148" s="1"/>
  <c r="V600" i="148" s="1"/>
  <c r="W600" i="148" s="1"/>
  <c r="X600" i="148" s="1"/>
  <c r="Y600" i="148" s="1"/>
  <c r="Z600" i="148" s="1"/>
  <c r="AA600" i="148" s="1"/>
  <c r="AB600" i="148" s="1"/>
  <c r="AC600" i="148" s="1"/>
  <c r="AD600" i="148" s="1"/>
  <c r="AE600" i="148" s="1"/>
  <c r="AF600" i="148" s="1"/>
  <c r="F601" i="148"/>
  <c r="H601" i="148"/>
  <c r="I601" i="148" s="1"/>
  <c r="J601" i="148" s="1"/>
  <c r="K601" i="148" s="1"/>
  <c r="L601" i="148" s="1"/>
  <c r="M601" i="148" s="1"/>
  <c r="N601" i="148" s="1"/>
  <c r="O601" i="148" s="1"/>
  <c r="P601" i="148" s="1"/>
  <c r="Q601" i="148" s="1"/>
  <c r="R601" i="148" s="1"/>
  <c r="S601" i="148" s="1"/>
  <c r="T601" i="148" s="1"/>
  <c r="U601" i="148" s="1"/>
  <c r="V601" i="148" s="1"/>
  <c r="W601" i="148" s="1"/>
  <c r="X601" i="148" s="1"/>
  <c r="Y601" i="148" s="1"/>
  <c r="Z601" i="148" s="1"/>
  <c r="AA601" i="148" s="1"/>
  <c r="AB601" i="148" s="1"/>
  <c r="AC601" i="148" s="1"/>
  <c r="AD601" i="148" s="1"/>
  <c r="AE601" i="148" s="1"/>
  <c r="AF601" i="148" s="1"/>
  <c r="F603" i="148"/>
  <c r="F602" i="148" s="1"/>
  <c r="H603" i="148"/>
  <c r="H602" i="148" s="1"/>
  <c r="F607" i="148"/>
  <c r="H607" i="148"/>
  <c r="F608" i="148"/>
  <c r="H608" i="148"/>
  <c r="I608" i="148"/>
  <c r="J608" i="148" s="1"/>
  <c r="K608" i="148" s="1"/>
  <c r="L608" i="148" s="1"/>
  <c r="M608" i="148" s="1"/>
  <c r="N608" i="148" s="1"/>
  <c r="O608" i="148" s="1"/>
  <c r="P608" i="148" s="1"/>
  <c r="Q608" i="148" s="1"/>
  <c r="R608" i="148" s="1"/>
  <c r="S608" i="148" s="1"/>
  <c r="T608" i="148" s="1"/>
  <c r="U608" i="148" s="1"/>
  <c r="V608" i="148" s="1"/>
  <c r="W608" i="148" s="1"/>
  <c r="X608" i="148" s="1"/>
  <c r="Y608" i="148" s="1"/>
  <c r="Z608" i="148" s="1"/>
  <c r="AA608" i="148" s="1"/>
  <c r="AB608" i="148" s="1"/>
  <c r="AC608" i="148" s="1"/>
  <c r="AD608" i="148" s="1"/>
  <c r="AE608" i="148" s="1"/>
  <c r="AF608" i="148" s="1"/>
  <c r="F609" i="148"/>
  <c r="H609" i="148"/>
  <c r="I609" i="148" s="1"/>
  <c r="J609" i="148" s="1"/>
  <c r="K609" i="148" s="1"/>
  <c r="L609" i="148" s="1"/>
  <c r="M609" i="148" s="1"/>
  <c r="N609" i="148" s="1"/>
  <c r="O609" i="148" s="1"/>
  <c r="P609" i="148" s="1"/>
  <c r="Q609" i="148" s="1"/>
  <c r="R609" i="148" s="1"/>
  <c r="S609" i="148" s="1"/>
  <c r="T609" i="148" s="1"/>
  <c r="U609" i="148" s="1"/>
  <c r="V609" i="148" s="1"/>
  <c r="W609" i="148" s="1"/>
  <c r="X609" i="148" s="1"/>
  <c r="Y609" i="148" s="1"/>
  <c r="Z609" i="148" s="1"/>
  <c r="AA609" i="148" s="1"/>
  <c r="AB609" i="148" s="1"/>
  <c r="AC609" i="148" s="1"/>
  <c r="AD609" i="148" s="1"/>
  <c r="AE609" i="148" s="1"/>
  <c r="AF609" i="148" s="1"/>
  <c r="F610" i="148"/>
  <c r="H610" i="148"/>
  <c r="I610" i="148" s="1"/>
  <c r="J610" i="148" s="1"/>
  <c r="K610" i="148" s="1"/>
  <c r="L610" i="148" s="1"/>
  <c r="M610" i="148" s="1"/>
  <c r="N610" i="148" s="1"/>
  <c r="O610" i="148" s="1"/>
  <c r="P610" i="148" s="1"/>
  <c r="Q610" i="148" s="1"/>
  <c r="R610" i="148" s="1"/>
  <c r="S610" i="148" s="1"/>
  <c r="T610" i="148" s="1"/>
  <c r="U610" i="148" s="1"/>
  <c r="V610" i="148" s="1"/>
  <c r="W610" i="148" s="1"/>
  <c r="X610" i="148" s="1"/>
  <c r="Y610" i="148" s="1"/>
  <c r="Z610" i="148" s="1"/>
  <c r="AA610" i="148" s="1"/>
  <c r="AB610" i="148" s="1"/>
  <c r="AC610" i="148" s="1"/>
  <c r="AD610" i="148" s="1"/>
  <c r="AE610" i="148" s="1"/>
  <c r="AF610" i="148" s="1"/>
  <c r="F611" i="148"/>
  <c r="H611" i="148"/>
  <c r="I611" i="148" s="1"/>
  <c r="J611" i="148" s="1"/>
  <c r="K611" i="148" s="1"/>
  <c r="L611" i="148" s="1"/>
  <c r="M611" i="148" s="1"/>
  <c r="N611" i="148" s="1"/>
  <c r="O611" i="148" s="1"/>
  <c r="P611" i="148" s="1"/>
  <c r="Q611" i="148" s="1"/>
  <c r="R611" i="148" s="1"/>
  <c r="S611" i="148" s="1"/>
  <c r="T611" i="148" s="1"/>
  <c r="U611" i="148" s="1"/>
  <c r="V611" i="148" s="1"/>
  <c r="W611" i="148" s="1"/>
  <c r="X611" i="148" s="1"/>
  <c r="Y611" i="148" s="1"/>
  <c r="Z611" i="148" s="1"/>
  <c r="AA611" i="148" s="1"/>
  <c r="AB611" i="148" s="1"/>
  <c r="AC611" i="148" s="1"/>
  <c r="AD611" i="148" s="1"/>
  <c r="AE611" i="148" s="1"/>
  <c r="AF611" i="148" s="1"/>
  <c r="F615" i="148"/>
  <c r="F614" i="148" s="1"/>
  <c r="H615" i="148"/>
  <c r="I615" i="148"/>
  <c r="F616" i="148"/>
  <c r="H616" i="148"/>
  <c r="F617" i="148"/>
  <c r="H617" i="148"/>
  <c r="I617" i="148" s="1"/>
  <c r="J617" i="148" s="1"/>
  <c r="K617" i="148" s="1"/>
  <c r="L617" i="148" s="1"/>
  <c r="M617" i="148" s="1"/>
  <c r="N617" i="148" s="1"/>
  <c r="O617" i="148" s="1"/>
  <c r="P617" i="148" s="1"/>
  <c r="Q617" i="148" s="1"/>
  <c r="R617" i="148" s="1"/>
  <c r="S617" i="148" s="1"/>
  <c r="T617" i="148" s="1"/>
  <c r="U617" i="148" s="1"/>
  <c r="V617" i="148" s="1"/>
  <c r="W617" i="148" s="1"/>
  <c r="X617" i="148" s="1"/>
  <c r="Y617" i="148" s="1"/>
  <c r="Z617" i="148" s="1"/>
  <c r="AA617" i="148" s="1"/>
  <c r="AB617" i="148" s="1"/>
  <c r="AC617" i="148" s="1"/>
  <c r="AD617" i="148" s="1"/>
  <c r="AE617" i="148" s="1"/>
  <c r="AF617" i="148" s="1"/>
  <c r="F619" i="148"/>
  <c r="H619" i="148"/>
  <c r="H618" i="148" s="1"/>
  <c r="F620" i="148"/>
  <c r="F618" i="148" s="1"/>
  <c r="H620" i="148"/>
  <c r="I620" i="148"/>
  <c r="J620" i="148" s="1"/>
  <c r="K620" i="148" s="1"/>
  <c r="L620" i="148" s="1"/>
  <c r="M620" i="148" s="1"/>
  <c r="N620" i="148" s="1"/>
  <c r="O620" i="148" s="1"/>
  <c r="P620" i="148" s="1"/>
  <c r="Q620" i="148" s="1"/>
  <c r="R620" i="148" s="1"/>
  <c r="S620" i="148" s="1"/>
  <c r="T620" i="148" s="1"/>
  <c r="U620" i="148" s="1"/>
  <c r="V620" i="148" s="1"/>
  <c r="W620" i="148" s="1"/>
  <c r="X620" i="148" s="1"/>
  <c r="Y620" i="148" s="1"/>
  <c r="Z620" i="148" s="1"/>
  <c r="AA620" i="148" s="1"/>
  <c r="AB620" i="148" s="1"/>
  <c r="AC620" i="148" s="1"/>
  <c r="AD620" i="148" s="1"/>
  <c r="AE620" i="148" s="1"/>
  <c r="AF620" i="148" s="1"/>
  <c r="F623" i="148"/>
  <c r="H623" i="148"/>
  <c r="H622" i="148" s="1"/>
  <c r="F624" i="148"/>
  <c r="H624" i="148"/>
  <c r="I624" i="148" s="1"/>
  <c r="J624" i="148" s="1"/>
  <c r="K624" i="148" s="1"/>
  <c r="L624" i="148" s="1"/>
  <c r="M624" i="148" s="1"/>
  <c r="N624" i="148" s="1"/>
  <c r="O624" i="148" s="1"/>
  <c r="P624" i="148" s="1"/>
  <c r="Q624" i="148" s="1"/>
  <c r="R624" i="148" s="1"/>
  <c r="S624" i="148" s="1"/>
  <c r="T624" i="148" s="1"/>
  <c r="U624" i="148" s="1"/>
  <c r="V624" i="148" s="1"/>
  <c r="W624" i="148" s="1"/>
  <c r="X624" i="148" s="1"/>
  <c r="Y624" i="148" s="1"/>
  <c r="Z624" i="148" s="1"/>
  <c r="AA624" i="148" s="1"/>
  <c r="AB624" i="148" s="1"/>
  <c r="AC624" i="148" s="1"/>
  <c r="AD624" i="148" s="1"/>
  <c r="AE624" i="148" s="1"/>
  <c r="AF624" i="148" s="1"/>
  <c r="F625" i="148"/>
  <c r="H625" i="148"/>
  <c r="I625" i="148" s="1"/>
  <c r="J625" i="148" s="1"/>
  <c r="K625" i="148" s="1"/>
  <c r="L625" i="148" s="1"/>
  <c r="M625" i="148" s="1"/>
  <c r="N625" i="148" s="1"/>
  <c r="O625" i="148" s="1"/>
  <c r="P625" i="148" s="1"/>
  <c r="Q625" i="148" s="1"/>
  <c r="R625" i="148" s="1"/>
  <c r="S625" i="148" s="1"/>
  <c r="T625" i="148" s="1"/>
  <c r="U625" i="148" s="1"/>
  <c r="V625" i="148" s="1"/>
  <c r="W625" i="148" s="1"/>
  <c r="X625" i="148" s="1"/>
  <c r="Y625" i="148" s="1"/>
  <c r="Z625" i="148" s="1"/>
  <c r="AA625" i="148" s="1"/>
  <c r="AB625" i="148" s="1"/>
  <c r="AC625" i="148" s="1"/>
  <c r="AD625" i="148" s="1"/>
  <c r="AE625" i="148" s="1"/>
  <c r="AF625" i="148" s="1"/>
  <c r="F627" i="148"/>
  <c r="F626" i="148" s="1"/>
  <c r="H627" i="148"/>
  <c r="H626" i="148" s="1"/>
  <c r="F630" i="148"/>
  <c r="H630" i="148"/>
  <c r="H629" i="148" s="1"/>
  <c r="F631" i="148"/>
  <c r="F629" i="148" s="1"/>
  <c r="H631" i="148"/>
  <c r="I631" i="148"/>
  <c r="J631" i="148" s="1"/>
  <c r="K631" i="148" s="1"/>
  <c r="L631" i="148" s="1"/>
  <c r="M631" i="148" s="1"/>
  <c r="N631" i="148" s="1"/>
  <c r="O631" i="148" s="1"/>
  <c r="P631" i="148" s="1"/>
  <c r="Q631" i="148" s="1"/>
  <c r="R631" i="148" s="1"/>
  <c r="S631" i="148" s="1"/>
  <c r="T631" i="148" s="1"/>
  <c r="U631" i="148" s="1"/>
  <c r="V631" i="148" s="1"/>
  <c r="W631" i="148" s="1"/>
  <c r="X631" i="148" s="1"/>
  <c r="Y631" i="148" s="1"/>
  <c r="Z631" i="148" s="1"/>
  <c r="AA631" i="148" s="1"/>
  <c r="AB631" i="148" s="1"/>
  <c r="AC631" i="148" s="1"/>
  <c r="AD631" i="148" s="1"/>
  <c r="AE631" i="148" s="1"/>
  <c r="AF631" i="148" s="1"/>
  <c r="F633" i="148"/>
  <c r="F632" i="148" s="1"/>
  <c r="H633" i="148"/>
  <c r="H632" i="148" s="1"/>
  <c r="F635" i="148"/>
  <c r="F634" i="148" s="1"/>
  <c r="H635" i="148"/>
  <c r="H634" i="148" s="1"/>
  <c r="F636" i="148"/>
  <c r="F637" i="148"/>
  <c r="H637" i="148"/>
  <c r="H636" i="148" s="1"/>
  <c r="F641" i="148"/>
  <c r="F640" i="148" s="1"/>
  <c r="F639" i="148" s="1"/>
  <c r="F638" i="148" s="1"/>
  <c r="H641" i="148"/>
  <c r="H640" i="148" s="1"/>
  <c r="H639" i="148" s="1"/>
  <c r="I641" i="148"/>
  <c r="I640" i="148" s="1"/>
  <c r="I639" i="148" s="1"/>
  <c r="I638" i="148" s="1"/>
  <c r="F645" i="148"/>
  <c r="F644" i="148" s="1"/>
  <c r="H645" i="148"/>
  <c r="H644" i="148" s="1"/>
  <c r="H646" i="148"/>
  <c r="F647" i="148"/>
  <c r="F646" i="148" s="1"/>
  <c r="H647" i="148"/>
  <c r="I647" i="148" s="1"/>
  <c r="I646" i="148" s="1"/>
  <c r="F649" i="148"/>
  <c r="F648" i="148" s="1"/>
  <c r="F650" i="148"/>
  <c r="H650" i="148"/>
  <c r="H649" i="148" s="1"/>
  <c r="H648" i="148" s="1"/>
  <c r="H735" i="148" s="1"/>
  <c r="F654" i="148"/>
  <c r="H654" i="148"/>
  <c r="I654" i="148" s="1"/>
  <c r="F655" i="148"/>
  <c r="H655" i="148"/>
  <c r="F656" i="148"/>
  <c r="H656" i="148"/>
  <c r="I656" i="148"/>
  <c r="J656" i="148" s="1"/>
  <c r="K656" i="148" s="1"/>
  <c r="L656" i="148" s="1"/>
  <c r="M656" i="148" s="1"/>
  <c r="N656" i="148" s="1"/>
  <c r="O656" i="148" s="1"/>
  <c r="P656" i="148" s="1"/>
  <c r="Q656" i="148" s="1"/>
  <c r="R656" i="148" s="1"/>
  <c r="S656" i="148" s="1"/>
  <c r="T656" i="148" s="1"/>
  <c r="U656" i="148" s="1"/>
  <c r="V656" i="148" s="1"/>
  <c r="W656" i="148" s="1"/>
  <c r="X656" i="148" s="1"/>
  <c r="Y656" i="148" s="1"/>
  <c r="Z656" i="148" s="1"/>
  <c r="AA656" i="148" s="1"/>
  <c r="AB656" i="148" s="1"/>
  <c r="AC656" i="148" s="1"/>
  <c r="AD656" i="148" s="1"/>
  <c r="AE656" i="148" s="1"/>
  <c r="AF656" i="148" s="1"/>
  <c r="F658" i="148"/>
  <c r="H658" i="148"/>
  <c r="F659" i="148"/>
  <c r="H659" i="148"/>
  <c r="I659" i="148" s="1"/>
  <c r="J659" i="148" s="1"/>
  <c r="K659" i="148" s="1"/>
  <c r="L659" i="148" s="1"/>
  <c r="M659" i="148" s="1"/>
  <c r="N659" i="148" s="1"/>
  <c r="O659" i="148" s="1"/>
  <c r="P659" i="148" s="1"/>
  <c r="Q659" i="148" s="1"/>
  <c r="R659" i="148" s="1"/>
  <c r="S659" i="148" s="1"/>
  <c r="T659" i="148" s="1"/>
  <c r="U659" i="148" s="1"/>
  <c r="V659" i="148" s="1"/>
  <c r="W659" i="148" s="1"/>
  <c r="X659" i="148" s="1"/>
  <c r="Y659" i="148" s="1"/>
  <c r="Z659" i="148" s="1"/>
  <c r="AA659" i="148" s="1"/>
  <c r="AB659" i="148" s="1"/>
  <c r="AC659" i="148" s="1"/>
  <c r="AD659" i="148" s="1"/>
  <c r="AE659" i="148" s="1"/>
  <c r="AF659" i="148" s="1"/>
  <c r="D660" i="148"/>
  <c r="F660" i="148"/>
  <c r="H660" i="148"/>
  <c r="I660" i="148"/>
  <c r="J660" i="148" s="1"/>
  <c r="K660" i="148" s="1"/>
  <c r="L660" i="148" s="1"/>
  <c r="M660" i="148" s="1"/>
  <c r="N660" i="148" s="1"/>
  <c r="O660" i="148" s="1"/>
  <c r="P660" i="148" s="1"/>
  <c r="Q660" i="148" s="1"/>
  <c r="R660" i="148" s="1"/>
  <c r="S660" i="148" s="1"/>
  <c r="T660" i="148" s="1"/>
  <c r="U660" i="148" s="1"/>
  <c r="V660" i="148" s="1"/>
  <c r="W660" i="148" s="1"/>
  <c r="X660" i="148" s="1"/>
  <c r="Y660" i="148" s="1"/>
  <c r="Z660" i="148" s="1"/>
  <c r="AA660" i="148" s="1"/>
  <c r="AB660" i="148" s="1"/>
  <c r="AC660" i="148" s="1"/>
  <c r="AD660" i="148" s="1"/>
  <c r="AE660" i="148" s="1"/>
  <c r="AF660" i="148" s="1"/>
  <c r="D661" i="148"/>
  <c r="D662" i="148" s="1"/>
  <c r="D663" i="148" s="1"/>
  <c r="D664" i="148" s="1"/>
  <c r="D667" i="148" s="1"/>
  <c r="D668" i="148" s="1"/>
  <c r="D670" i="148" s="1"/>
  <c r="D673" i="148" s="1"/>
  <c r="F661" i="148"/>
  <c r="H661" i="148"/>
  <c r="I661" i="148" s="1"/>
  <c r="J661" i="148" s="1"/>
  <c r="K661" i="148" s="1"/>
  <c r="L661" i="148" s="1"/>
  <c r="M661" i="148" s="1"/>
  <c r="N661" i="148" s="1"/>
  <c r="O661" i="148" s="1"/>
  <c r="P661" i="148" s="1"/>
  <c r="Q661" i="148" s="1"/>
  <c r="R661" i="148" s="1"/>
  <c r="S661" i="148" s="1"/>
  <c r="T661" i="148" s="1"/>
  <c r="U661" i="148" s="1"/>
  <c r="V661" i="148" s="1"/>
  <c r="W661" i="148" s="1"/>
  <c r="X661" i="148" s="1"/>
  <c r="Y661" i="148" s="1"/>
  <c r="Z661" i="148" s="1"/>
  <c r="AA661" i="148" s="1"/>
  <c r="AB661" i="148" s="1"/>
  <c r="AC661" i="148" s="1"/>
  <c r="AD661" i="148" s="1"/>
  <c r="AE661" i="148" s="1"/>
  <c r="AF661" i="148" s="1"/>
  <c r="F662" i="148"/>
  <c r="H662" i="148"/>
  <c r="I662" i="148"/>
  <c r="J662" i="148" s="1"/>
  <c r="K662" i="148" s="1"/>
  <c r="L662" i="148" s="1"/>
  <c r="M662" i="148" s="1"/>
  <c r="N662" i="148" s="1"/>
  <c r="O662" i="148" s="1"/>
  <c r="P662" i="148" s="1"/>
  <c r="Q662" i="148" s="1"/>
  <c r="R662" i="148" s="1"/>
  <c r="S662" i="148" s="1"/>
  <c r="T662" i="148" s="1"/>
  <c r="U662" i="148" s="1"/>
  <c r="V662" i="148" s="1"/>
  <c r="W662" i="148" s="1"/>
  <c r="X662" i="148" s="1"/>
  <c r="Y662" i="148" s="1"/>
  <c r="Z662" i="148" s="1"/>
  <c r="AA662" i="148" s="1"/>
  <c r="AB662" i="148" s="1"/>
  <c r="AC662" i="148" s="1"/>
  <c r="AD662" i="148" s="1"/>
  <c r="AE662" i="148" s="1"/>
  <c r="AF662" i="148" s="1"/>
  <c r="F663" i="148"/>
  <c r="H663" i="148"/>
  <c r="I663" i="148" s="1"/>
  <c r="J663" i="148" s="1"/>
  <c r="K663" i="148" s="1"/>
  <c r="L663" i="148" s="1"/>
  <c r="M663" i="148" s="1"/>
  <c r="N663" i="148" s="1"/>
  <c r="O663" i="148" s="1"/>
  <c r="P663" i="148" s="1"/>
  <c r="Q663" i="148" s="1"/>
  <c r="R663" i="148" s="1"/>
  <c r="S663" i="148" s="1"/>
  <c r="T663" i="148" s="1"/>
  <c r="U663" i="148" s="1"/>
  <c r="V663" i="148" s="1"/>
  <c r="W663" i="148" s="1"/>
  <c r="X663" i="148" s="1"/>
  <c r="Y663" i="148" s="1"/>
  <c r="Z663" i="148" s="1"/>
  <c r="AA663" i="148" s="1"/>
  <c r="AB663" i="148" s="1"/>
  <c r="AC663" i="148" s="1"/>
  <c r="AD663" i="148" s="1"/>
  <c r="AE663" i="148" s="1"/>
  <c r="AF663" i="148" s="1"/>
  <c r="F664" i="148"/>
  <c r="H664" i="148"/>
  <c r="I664" i="148" s="1"/>
  <c r="J664" i="148" s="1"/>
  <c r="K664" i="148" s="1"/>
  <c r="L664" i="148" s="1"/>
  <c r="M664" i="148" s="1"/>
  <c r="N664" i="148" s="1"/>
  <c r="O664" i="148" s="1"/>
  <c r="P664" i="148" s="1"/>
  <c r="Q664" i="148" s="1"/>
  <c r="R664" i="148" s="1"/>
  <c r="S664" i="148" s="1"/>
  <c r="T664" i="148" s="1"/>
  <c r="U664" i="148" s="1"/>
  <c r="V664" i="148" s="1"/>
  <c r="W664" i="148" s="1"/>
  <c r="X664" i="148" s="1"/>
  <c r="Y664" i="148" s="1"/>
  <c r="Z664" i="148" s="1"/>
  <c r="AA664" i="148" s="1"/>
  <c r="AB664" i="148" s="1"/>
  <c r="AC664" i="148" s="1"/>
  <c r="AD664" i="148" s="1"/>
  <c r="AE664" i="148" s="1"/>
  <c r="AF664" i="148" s="1"/>
  <c r="F667" i="148"/>
  <c r="H667" i="148"/>
  <c r="H666" i="148" s="1"/>
  <c r="F668" i="148"/>
  <c r="H668" i="148"/>
  <c r="I668" i="148"/>
  <c r="J668" i="148" s="1"/>
  <c r="K668" i="148" s="1"/>
  <c r="L668" i="148" s="1"/>
  <c r="M668" i="148" s="1"/>
  <c r="N668" i="148" s="1"/>
  <c r="O668" i="148" s="1"/>
  <c r="P668" i="148" s="1"/>
  <c r="Q668" i="148" s="1"/>
  <c r="R668" i="148" s="1"/>
  <c r="S668" i="148" s="1"/>
  <c r="T668" i="148" s="1"/>
  <c r="U668" i="148" s="1"/>
  <c r="V668" i="148" s="1"/>
  <c r="W668" i="148" s="1"/>
  <c r="X668" i="148" s="1"/>
  <c r="Y668" i="148" s="1"/>
  <c r="Z668" i="148" s="1"/>
  <c r="AA668" i="148" s="1"/>
  <c r="AB668" i="148" s="1"/>
  <c r="AC668" i="148" s="1"/>
  <c r="AD668" i="148" s="1"/>
  <c r="AE668" i="148" s="1"/>
  <c r="AF668" i="148" s="1"/>
  <c r="F670" i="148"/>
  <c r="F669" i="148" s="1"/>
  <c r="H670" i="148"/>
  <c r="H669" i="148" s="1"/>
  <c r="H672" i="148"/>
  <c r="H671" i="148" s="1"/>
  <c r="H739" i="148" s="1"/>
  <c r="F673" i="148"/>
  <c r="F672" i="148" s="1"/>
  <c r="F671" i="148" s="1"/>
  <c r="H673" i="148"/>
  <c r="I673" i="148" s="1"/>
  <c r="I672" i="148" s="1"/>
  <c r="I671" i="148" s="1"/>
  <c r="I739" i="148" s="1"/>
  <c r="H697" i="148"/>
  <c r="I698" i="148"/>
  <c r="H719" i="148"/>
  <c r="I731" i="148"/>
  <c r="I732" i="148"/>
  <c r="H7" i="123"/>
  <c r="H17" i="123"/>
  <c r="B7" i="46"/>
  <c r="B8" i="46"/>
  <c r="B9" i="46"/>
  <c r="B10" i="46"/>
  <c r="B11" i="46"/>
  <c r="B12" i="46"/>
  <c r="B13" i="46"/>
  <c r="B14" i="46"/>
  <c r="B15" i="46"/>
  <c r="B16" i="46"/>
  <c r="D17" i="46"/>
  <c r="F17" i="46"/>
  <c r="F31" i="46" s="1"/>
  <c r="H17" i="46"/>
  <c r="J17" i="46"/>
  <c r="J31" i="46" s="1"/>
  <c r="L17" i="46"/>
  <c r="N17" i="46"/>
  <c r="N31" i="46" s="1"/>
  <c r="P17" i="46"/>
  <c r="R17" i="46"/>
  <c r="R31" i="46" s="1"/>
  <c r="U17" i="46"/>
  <c r="W17" i="46"/>
  <c r="W31" i="46" s="1"/>
  <c r="Y17" i="46"/>
  <c r="AA17" i="46"/>
  <c r="AA31" i="46" s="1"/>
  <c r="AC17" i="46"/>
  <c r="AG17" i="46"/>
  <c r="AG31" i="46" s="1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D31" i="46"/>
  <c r="H31" i="46"/>
  <c r="L31" i="46"/>
  <c r="P31" i="46"/>
  <c r="U31" i="46"/>
  <c r="Y31" i="46"/>
  <c r="AC31" i="46"/>
  <c r="H4" i="96"/>
  <c r="H18" i="96" s="1"/>
  <c r="I4" i="96"/>
  <c r="J4" i="96"/>
  <c r="H5" i="96"/>
  <c r="I5" i="96"/>
  <c r="J5" i="96"/>
  <c r="H6" i="96"/>
  <c r="I6" i="96"/>
  <c r="J6" i="96"/>
  <c r="H7" i="96"/>
  <c r="I7" i="96"/>
  <c r="J7" i="96"/>
  <c r="C8" i="96"/>
  <c r="C18" i="96" s="1"/>
  <c r="H8" i="96"/>
  <c r="J8" i="96"/>
  <c r="H9" i="96"/>
  <c r="I9" i="96"/>
  <c r="J9" i="96"/>
  <c r="H10" i="96"/>
  <c r="I10" i="96"/>
  <c r="J10" i="96"/>
  <c r="C11" i="96"/>
  <c r="H11" i="96"/>
  <c r="I11" i="96"/>
  <c r="J11" i="96"/>
  <c r="H12" i="96"/>
  <c r="I12" i="96"/>
  <c r="J12" i="96"/>
  <c r="H13" i="96"/>
  <c r="I13" i="96"/>
  <c r="J13" i="96"/>
  <c r="H14" i="96"/>
  <c r="I14" i="96"/>
  <c r="J14" i="96"/>
  <c r="H15" i="96"/>
  <c r="I15" i="96"/>
  <c r="J15" i="96"/>
  <c r="H16" i="96"/>
  <c r="I16" i="96"/>
  <c r="J16" i="96"/>
  <c r="H17" i="96"/>
  <c r="I17" i="96"/>
  <c r="J17" i="96"/>
  <c r="B18" i="96"/>
  <c r="D18" i="96"/>
  <c r="E18" i="96"/>
  <c r="F18" i="96"/>
  <c r="G18" i="96"/>
  <c r="J18" i="96"/>
  <c r="K18" i="96"/>
  <c r="L18" i="96"/>
  <c r="M18" i="96"/>
  <c r="N18" i="96"/>
  <c r="O18" i="96"/>
  <c r="E7" i="138"/>
  <c r="E18" i="138" s="1"/>
  <c r="F7" i="138"/>
  <c r="E8" i="138"/>
  <c r="F8" i="138"/>
  <c r="E9" i="138"/>
  <c r="F9" i="138"/>
  <c r="E10" i="138"/>
  <c r="F10" i="138"/>
  <c r="E11" i="138"/>
  <c r="F11" i="138"/>
  <c r="E12" i="138"/>
  <c r="F12" i="138"/>
  <c r="E13" i="138"/>
  <c r="F13" i="138"/>
  <c r="E14" i="138"/>
  <c r="F14" i="138"/>
  <c r="E15" i="138"/>
  <c r="F15" i="138"/>
  <c r="E16" i="138"/>
  <c r="F16" i="138"/>
  <c r="A17" i="138"/>
  <c r="E17" i="138"/>
  <c r="F17" i="138"/>
  <c r="F18" i="138" s="1"/>
  <c r="G18" i="138"/>
  <c r="H18" i="138"/>
  <c r="I18" i="138"/>
  <c r="J18" i="138"/>
  <c r="K18" i="138"/>
  <c r="L18" i="138"/>
  <c r="M18" i="138"/>
  <c r="N18" i="138"/>
  <c r="O18" i="138"/>
  <c r="P18" i="138"/>
  <c r="Q18" i="138"/>
  <c r="R18" i="138"/>
  <c r="S18" i="138"/>
  <c r="T18" i="138"/>
  <c r="U18" i="138"/>
  <c r="V18" i="138"/>
  <c r="W18" i="138"/>
  <c r="X18" i="138"/>
  <c r="Y18" i="138"/>
  <c r="Z18" i="138"/>
  <c r="D22" i="118"/>
  <c r="E22" i="118"/>
  <c r="F22" i="118"/>
  <c r="G22" i="118"/>
  <c r="H22" i="118"/>
  <c r="I22" i="118"/>
  <c r="J22" i="118"/>
  <c r="K22" i="118"/>
  <c r="L22" i="118"/>
  <c r="M22" i="118"/>
  <c r="N22" i="118"/>
  <c r="O22" i="118"/>
  <c r="P22" i="118"/>
  <c r="Q22" i="118"/>
  <c r="R22" i="118"/>
  <c r="S22" i="118"/>
  <c r="T22" i="118"/>
  <c r="U22" i="118"/>
  <c r="V22" i="118"/>
  <c r="W22" i="118"/>
  <c r="X22" i="118"/>
  <c r="Y22" i="118"/>
  <c r="Z22" i="118"/>
  <c r="AA22" i="118"/>
  <c r="D28" i="118"/>
  <c r="E28" i="118"/>
  <c r="F28" i="118"/>
  <c r="G28" i="118"/>
  <c r="H28" i="118"/>
  <c r="I28" i="118"/>
  <c r="J28" i="118"/>
  <c r="K28" i="118"/>
  <c r="L28" i="118"/>
  <c r="M28" i="118"/>
  <c r="N28" i="118"/>
  <c r="O28" i="118"/>
  <c r="P28" i="118"/>
  <c r="Q28" i="118"/>
  <c r="R28" i="118"/>
  <c r="S28" i="118"/>
  <c r="T28" i="118"/>
  <c r="U28" i="118"/>
  <c r="V28" i="118"/>
  <c r="W28" i="118"/>
  <c r="X28" i="118"/>
  <c r="Y28" i="118"/>
  <c r="Z28" i="118"/>
  <c r="AA28" i="118"/>
  <c r="D32" i="118"/>
  <c r="E32" i="118"/>
  <c r="F32" i="118"/>
  <c r="G32" i="118"/>
  <c r="H32" i="118"/>
  <c r="I32" i="118"/>
  <c r="J32" i="118"/>
  <c r="K32" i="118"/>
  <c r="L32" i="118"/>
  <c r="M32" i="118"/>
  <c r="N32" i="118"/>
  <c r="O32" i="118"/>
  <c r="P32" i="118"/>
  <c r="Q32" i="118"/>
  <c r="R32" i="118"/>
  <c r="S32" i="118"/>
  <c r="T32" i="118"/>
  <c r="U32" i="118"/>
  <c r="V32" i="118"/>
  <c r="W32" i="118"/>
  <c r="X32" i="118"/>
  <c r="Y32" i="118"/>
  <c r="Z32" i="118"/>
  <c r="AA32" i="118"/>
  <c r="D35" i="118"/>
  <c r="E35" i="118"/>
  <c r="F35" i="118"/>
  <c r="G35" i="118"/>
  <c r="H35" i="118"/>
  <c r="I35" i="118"/>
  <c r="J35" i="118"/>
  <c r="K35" i="118"/>
  <c r="L35" i="118"/>
  <c r="M35" i="118"/>
  <c r="N35" i="118"/>
  <c r="O35" i="118"/>
  <c r="P35" i="118"/>
  <c r="Q35" i="118"/>
  <c r="R35" i="118"/>
  <c r="S35" i="118"/>
  <c r="T35" i="118"/>
  <c r="U35" i="118"/>
  <c r="V35" i="118"/>
  <c r="W35" i="118"/>
  <c r="X35" i="118"/>
  <c r="Y35" i="118"/>
  <c r="Z35" i="118"/>
  <c r="AA35" i="118"/>
  <c r="F8" i="15"/>
  <c r="F9" i="15"/>
  <c r="F10" i="15"/>
  <c r="F11" i="15"/>
  <c r="F13" i="15"/>
  <c r="F14" i="15"/>
  <c r="F15" i="15"/>
  <c r="F16" i="15"/>
  <c r="F17" i="15"/>
  <c r="F18" i="15"/>
  <c r="F21" i="15"/>
  <c r="F22" i="15"/>
  <c r="F24" i="15"/>
  <c r="F25" i="15"/>
  <c r="F26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F5" i="101"/>
  <c r="G5" i="101"/>
  <c r="F6" i="101"/>
  <c r="G6" i="101"/>
  <c r="F7" i="101"/>
  <c r="G7" i="101"/>
  <c r="F8" i="101"/>
  <c r="G8" i="101"/>
  <c r="F9" i="101"/>
  <c r="G9" i="101"/>
  <c r="F10" i="101"/>
  <c r="G10" i="101"/>
  <c r="F11" i="101"/>
  <c r="G11" i="101"/>
  <c r="F12" i="101"/>
  <c r="G12" i="101"/>
  <c r="F13" i="101"/>
  <c r="G13" i="101"/>
  <c r="F14" i="101"/>
  <c r="G14" i="101"/>
  <c r="F15" i="101"/>
  <c r="G15" i="101"/>
  <c r="F16" i="101"/>
  <c r="G16" i="101"/>
  <c r="F17" i="101"/>
  <c r="G17" i="101"/>
  <c r="F18" i="101"/>
  <c r="G18" i="101"/>
  <c r="F19" i="101"/>
  <c r="G19" i="101"/>
  <c r="F20" i="101"/>
  <c r="G20" i="101"/>
  <c r="F21" i="101"/>
  <c r="G21" i="101"/>
  <c r="F22" i="101"/>
  <c r="G22" i="101"/>
  <c r="F23" i="101"/>
  <c r="G23" i="101"/>
  <c r="F24" i="101"/>
  <c r="G24" i="101"/>
  <c r="F25" i="101"/>
  <c r="G25" i="101"/>
  <c r="F26" i="101"/>
  <c r="G26" i="101"/>
  <c r="F27" i="101"/>
  <c r="G27" i="101"/>
  <c r="E5" i="100"/>
  <c r="F5" i="100"/>
  <c r="I5" i="100"/>
  <c r="J5" i="100"/>
  <c r="E6" i="100"/>
  <c r="F6" i="100"/>
  <c r="I6" i="100"/>
  <c r="J6" i="100"/>
  <c r="E7" i="100"/>
  <c r="F7" i="100"/>
  <c r="I7" i="100"/>
  <c r="J7" i="100"/>
  <c r="E8" i="100"/>
  <c r="F8" i="100"/>
  <c r="I8" i="100"/>
  <c r="J8" i="100"/>
  <c r="E9" i="100"/>
  <c r="F9" i="100"/>
  <c r="I9" i="100"/>
  <c r="J9" i="100"/>
  <c r="E10" i="100"/>
  <c r="F10" i="100"/>
  <c r="I10" i="100"/>
  <c r="J10" i="100"/>
  <c r="E11" i="100"/>
  <c r="F11" i="100"/>
  <c r="I11" i="100"/>
  <c r="J11" i="100"/>
  <c r="E12" i="100"/>
  <c r="F12" i="100"/>
  <c r="I12" i="100"/>
  <c r="J12" i="100"/>
  <c r="E13" i="100"/>
  <c r="F13" i="100"/>
  <c r="I13" i="100"/>
  <c r="J13" i="100"/>
  <c r="E14" i="100"/>
  <c r="F14" i="100"/>
  <c r="I14" i="100"/>
  <c r="J14" i="100"/>
  <c r="E15" i="100"/>
  <c r="F15" i="100"/>
  <c r="I15" i="100"/>
  <c r="J15" i="100"/>
  <c r="E16" i="100"/>
  <c r="F16" i="100"/>
  <c r="I16" i="100"/>
  <c r="J16" i="100"/>
  <c r="E17" i="100"/>
  <c r="F17" i="100"/>
  <c r="I17" i="100"/>
  <c r="J17" i="100"/>
  <c r="E18" i="100"/>
  <c r="F18" i="100"/>
  <c r="I18" i="100"/>
  <c r="J18" i="100"/>
  <c r="E19" i="100"/>
  <c r="F19" i="100"/>
  <c r="I19" i="100"/>
  <c r="J19" i="100"/>
  <c r="E20" i="100"/>
  <c r="F20" i="100"/>
  <c r="I20" i="100"/>
  <c r="J20" i="100"/>
  <c r="C21" i="100"/>
  <c r="E21" i="100" s="1"/>
  <c r="D21" i="100"/>
  <c r="G21" i="100"/>
  <c r="H21" i="100"/>
  <c r="I21" i="100" s="1"/>
  <c r="C26" i="100"/>
  <c r="D26" i="100"/>
  <c r="E26" i="100" s="1"/>
  <c r="G26" i="100"/>
  <c r="J26" i="100" s="1"/>
  <c r="H26" i="100"/>
  <c r="C27" i="100"/>
  <c r="D27" i="100"/>
  <c r="E27" i="100" s="1"/>
  <c r="G27" i="100"/>
  <c r="J27" i="100" s="1"/>
  <c r="H27" i="100"/>
  <c r="I27" i="100"/>
  <c r="C28" i="100"/>
  <c r="D28" i="100"/>
  <c r="E28" i="100" s="1"/>
  <c r="G28" i="100"/>
  <c r="J28" i="100" s="1"/>
  <c r="H28" i="100"/>
  <c r="C29" i="100"/>
  <c r="D29" i="100"/>
  <c r="E29" i="100" s="1"/>
  <c r="G29" i="100"/>
  <c r="J29" i="100" s="1"/>
  <c r="H29" i="100"/>
  <c r="I29" i="100"/>
  <c r="C30" i="100"/>
  <c r="G30" i="100"/>
  <c r="J30" i="100" s="1"/>
  <c r="H30" i="100"/>
  <c r="K20" i="145"/>
  <c r="L20" i="145"/>
  <c r="L21" i="145" s="1"/>
  <c r="C21" i="145"/>
  <c r="D21" i="145"/>
  <c r="E21" i="145"/>
  <c r="F21" i="145"/>
  <c r="G21" i="145"/>
  <c r="H21" i="145"/>
  <c r="I21" i="145"/>
  <c r="J21" i="145"/>
  <c r="K21" i="145"/>
  <c r="M21" i="145"/>
  <c r="N21" i="145"/>
  <c r="H5" i="3"/>
  <c r="I5" i="3"/>
  <c r="B6" i="3"/>
  <c r="H6" i="3"/>
  <c r="I6" i="3"/>
  <c r="B8" i="3"/>
  <c r="H8" i="3"/>
  <c r="I8" i="3"/>
  <c r="H9" i="3"/>
  <c r="I9" i="3"/>
  <c r="B10" i="3"/>
  <c r="H10" i="3"/>
  <c r="I10" i="3"/>
  <c r="H11" i="3"/>
  <c r="I11" i="3"/>
  <c r="B12" i="3"/>
  <c r="H12" i="3"/>
  <c r="I12" i="3"/>
  <c r="H13" i="3"/>
  <c r="I13" i="3"/>
  <c r="B14" i="3"/>
  <c r="I15" i="3"/>
  <c r="B16" i="3"/>
  <c r="I17" i="3"/>
  <c r="B18" i="3"/>
  <c r="H18" i="3"/>
  <c r="I18" i="3"/>
  <c r="H19" i="3"/>
  <c r="I19" i="3"/>
  <c r="N19" i="3"/>
  <c r="O19" i="3"/>
  <c r="B20" i="3"/>
  <c r="H20" i="3"/>
  <c r="I20" i="3"/>
  <c r="H21" i="3"/>
  <c r="I21" i="3"/>
  <c r="B22" i="3"/>
  <c r="H22" i="3"/>
  <c r="I22" i="3"/>
  <c r="H23" i="3"/>
  <c r="I23" i="3"/>
  <c r="B24" i="3"/>
  <c r="H24" i="3"/>
  <c r="I24" i="3"/>
  <c r="F25" i="3"/>
  <c r="H25" i="3" s="1"/>
  <c r="G25" i="3"/>
  <c r="I25" i="3"/>
  <c r="H26" i="3"/>
  <c r="I26" i="3"/>
  <c r="H27" i="3"/>
  <c r="I27" i="3"/>
  <c r="H28" i="3"/>
  <c r="I28" i="3"/>
  <c r="H29" i="3"/>
  <c r="I29" i="3"/>
  <c r="H30" i="3"/>
  <c r="I30" i="3"/>
  <c r="N30" i="3"/>
  <c r="O30" i="3"/>
  <c r="O31" i="3" s="1"/>
  <c r="I31" i="3"/>
  <c r="N31" i="3"/>
  <c r="B20" i="2"/>
  <c r="C20" i="2"/>
  <c r="D20" i="2"/>
  <c r="E20" i="2"/>
  <c r="G20" i="2"/>
  <c r="H20" i="2"/>
  <c r="I20" i="2"/>
  <c r="K20" i="2"/>
  <c r="L20" i="2"/>
  <c r="M20" i="2"/>
  <c r="N20" i="2"/>
  <c r="D6" i="80"/>
  <c r="F6" i="80"/>
  <c r="J6" i="80"/>
  <c r="D7" i="80"/>
  <c r="F7" i="80"/>
  <c r="J7" i="80"/>
  <c r="D8" i="80"/>
  <c r="F8" i="80"/>
  <c r="J8" i="80"/>
  <c r="D9" i="80"/>
  <c r="F9" i="80"/>
  <c r="J9" i="80"/>
  <c r="D10" i="80"/>
  <c r="F10" i="80"/>
  <c r="J10" i="80"/>
  <c r="D11" i="80"/>
  <c r="F11" i="80"/>
  <c r="J11" i="80"/>
  <c r="D12" i="80"/>
  <c r="F12" i="80"/>
  <c r="J12" i="80"/>
  <c r="D13" i="80"/>
  <c r="F13" i="80"/>
  <c r="J13" i="80"/>
  <c r="D14" i="80"/>
  <c r="F14" i="80"/>
  <c r="J14" i="80"/>
  <c r="D15" i="80"/>
  <c r="F15" i="80"/>
  <c r="J15" i="80"/>
  <c r="D16" i="80"/>
  <c r="F16" i="80"/>
  <c r="J16" i="80"/>
  <c r="D17" i="80"/>
  <c r="F17" i="80"/>
  <c r="J17" i="80"/>
  <c r="D18" i="80"/>
  <c r="F18" i="80"/>
  <c r="J18" i="80"/>
  <c r="C19" i="80"/>
  <c r="D19" i="80" s="1"/>
  <c r="E19" i="80"/>
  <c r="F19" i="80" s="1"/>
  <c r="I19" i="80"/>
  <c r="J19" i="80" s="1"/>
  <c r="K19" i="80"/>
  <c r="L19" i="80"/>
  <c r="D20" i="80"/>
  <c r="F20" i="80"/>
  <c r="J20" i="80"/>
  <c r="D21" i="80"/>
  <c r="F21" i="80"/>
  <c r="J21" i="80"/>
  <c r="D22" i="80"/>
  <c r="F22" i="80"/>
  <c r="J22" i="80"/>
  <c r="D23" i="80"/>
  <c r="F23" i="80"/>
  <c r="J23" i="80"/>
  <c r="D25" i="80"/>
  <c r="F25" i="80"/>
  <c r="J25" i="80"/>
  <c r="F26" i="80"/>
  <c r="G26" i="80"/>
  <c r="H26" i="80" s="1"/>
  <c r="J26" i="80"/>
  <c r="I6" i="117"/>
  <c r="I7" i="117"/>
  <c r="I8" i="117"/>
  <c r="I9" i="117"/>
  <c r="C10" i="117"/>
  <c r="D10" i="117"/>
  <c r="E10" i="117"/>
  <c r="F10" i="117"/>
  <c r="G10" i="117"/>
  <c r="H10" i="117"/>
  <c r="I10" i="117"/>
  <c r="F16" i="117"/>
  <c r="J16" i="117"/>
  <c r="F17" i="117"/>
  <c r="J17" i="117"/>
  <c r="F18" i="117"/>
  <c r="J18" i="117"/>
  <c r="F19" i="117"/>
  <c r="J19" i="117"/>
  <c r="F20" i="117"/>
  <c r="J20" i="117"/>
  <c r="F21" i="117"/>
  <c r="J21" i="117"/>
  <c r="F22" i="117"/>
  <c r="J22" i="117"/>
  <c r="F23" i="117"/>
  <c r="J23" i="117"/>
  <c r="F24" i="117"/>
  <c r="J24" i="117"/>
  <c r="F25" i="117"/>
  <c r="J25" i="117"/>
  <c r="F26" i="117"/>
  <c r="J26" i="117"/>
  <c r="F27" i="117"/>
  <c r="J27" i="117"/>
  <c r="F28" i="117"/>
  <c r="J28" i="117"/>
  <c r="F29" i="117"/>
  <c r="J29" i="117"/>
  <c r="C30" i="117"/>
  <c r="D30" i="117"/>
  <c r="F30" i="117" s="1"/>
  <c r="E30" i="117"/>
  <c r="G30" i="117"/>
  <c r="H30" i="117"/>
  <c r="I30" i="117"/>
  <c r="B21" i="115"/>
  <c r="C21" i="115"/>
  <c r="D21" i="115"/>
  <c r="E21" i="115"/>
  <c r="F21" i="115"/>
  <c r="G21" i="115"/>
  <c r="H21" i="115"/>
  <c r="C26" i="115"/>
  <c r="C27" i="115"/>
  <c r="C28" i="115"/>
  <c r="C29" i="115"/>
  <c r="C30" i="115"/>
  <c r="C31" i="115"/>
  <c r="C32" i="115"/>
  <c r="C33" i="115"/>
  <c r="C34" i="115"/>
  <c r="C35" i="115"/>
  <c r="C36" i="115"/>
  <c r="C37" i="115"/>
  <c r="C38" i="115"/>
  <c r="C39" i="115"/>
  <c r="B40" i="115"/>
  <c r="C40" i="115"/>
  <c r="E40" i="115"/>
  <c r="F40" i="115"/>
  <c r="G40" i="115"/>
  <c r="H40" i="115"/>
  <c r="I40" i="115"/>
  <c r="J40" i="115"/>
  <c r="K40" i="115"/>
  <c r="C4" i="114"/>
  <c r="C17" i="114" s="1"/>
  <c r="C5" i="114"/>
  <c r="C6" i="114"/>
  <c r="C7" i="114"/>
  <c r="C8" i="114"/>
  <c r="C9" i="114"/>
  <c r="C10" i="114"/>
  <c r="C11" i="114"/>
  <c r="C12" i="114"/>
  <c r="C13" i="114"/>
  <c r="C14" i="114"/>
  <c r="C15" i="114"/>
  <c r="C16" i="114"/>
  <c r="C18" i="114" s="1"/>
  <c r="D17" i="114"/>
  <c r="E17" i="114"/>
  <c r="F17" i="114"/>
  <c r="G17" i="114"/>
  <c r="H17" i="114"/>
  <c r="D18" i="114"/>
  <c r="E18" i="114"/>
  <c r="F18" i="114"/>
  <c r="G18" i="114"/>
  <c r="H18" i="114"/>
  <c r="C22" i="114"/>
  <c r="C23" i="114"/>
  <c r="C24" i="114"/>
  <c r="C25" i="114"/>
  <c r="C35" i="114" s="1"/>
  <c r="C26" i="114"/>
  <c r="C27" i="114"/>
  <c r="C28" i="114"/>
  <c r="C29" i="114"/>
  <c r="C30" i="114"/>
  <c r="C31" i="114"/>
  <c r="C32" i="114"/>
  <c r="C33" i="114"/>
  <c r="C34" i="114"/>
  <c r="D35" i="114"/>
  <c r="E35" i="114"/>
  <c r="F35" i="114"/>
  <c r="G35" i="114"/>
  <c r="H35" i="114"/>
  <c r="C36" i="114"/>
  <c r="D36" i="114"/>
  <c r="E36" i="114"/>
  <c r="F36" i="114"/>
  <c r="G36" i="114"/>
  <c r="H36" i="114"/>
  <c r="D42" i="114"/>
  <c r="D55" i="114" s="1"/>
  <c r="E42" i="114"/>
  <c r="F42" i="114"/>
  <c r="F55" i="114" s="1"/>
  <c r="G42" i="114"/>
  <c r="H42" i="114"/>
  <c r="H55" i="114" s="1"/>
  <c r="D43" i="114"/>
  <c r="E43" i="114"/>
  <c r="F43" i="114"/>
  <c r="G43" i="114"/>
  <c r="H43" i="114"/>
  <c r="D44" i="114"/>
  <c r="E44" i="114"/>
  <c r="F44" i="114"/>
  <c r="G44" i="114"/>
  <c r="H44" i="114"/>
  <c r="D45" i="114"/>
  <c r="E45" i="114"/>
  <c r="F45" i="114"/>
  <c r="G45" i="114"/>
  <c r="H45" i="114"/>
  <c r="D46" i="114"/>
  <c r="E46" i="114"/>
  <c r="F46" i="114"/>
  <c r="G46" i="114"/>
  <c r="H46" i="114"/>
  <c r="D47" i="114"/>
  <c r="E47" i="114"/>
  <c r="F47" i="114"/>
  <c r="G47" i="114"/>
  <c r="H47" i="114"/>
  <c r="D48" i="114"/>
  <c r="E48" i="114"/>
  <c r="F48" i="114"/>
  <c r="G48" i="114"/>
  <c r="H48" i="114"/>
  <c r="D49" i="114"/>
  <c r="E49" i="114"/>
  <c r="F49" i="114"/>
  <c r="G49" i="114"/>
  <c r="H49" i="114"/>
  <c r="D50" i="114"/>
  <c r="E50" i="114"/>
  <c r="F50" i="114"/>
  <c r="G50" i="114"/>
  <c r="H50" i="114"/>
  <c r="D51" i="114"/>
  <c r="E51" i="114"/>
  <c r="F51" i="114"/>
  <c r="G51" i="114"/>
  <c r="H51" i="114"/>
  <c r="D52" i="114"/>
  <c r="E52" i="114"/>
  <c r="F52" i="114"/>
  <c r="G52" i="114"/>
  <c r="H52" i="114"/>
  <c r="D53" i="114"/>
  <c r="E53" i="114"/>
  <c r="F53" i="114"/>
  <c r="G53" i="114"/>
  <c r="G55" i="114" s="1"/>
  <c r="H53" i="114"/>
  <c r="D54" i="114"/>
  <c r="E54" i="114"/>
  <c r="F54" i="114"/>
  <c r="F56" i="114" s="1"/>
  <c r="G54" i="114"/>
  <c r="G56" i="114" s="1"/>
  <c r="H54" i="114"/>
  <c r="E55" i="114"/>
  <c r="D56" i="114"/>
  <c r="E56" i="114"/>
  <c r="H56" i="114"/>
  <c r="C6" i="102"/>
  <c r="J6" i="102" s="1"/>
  <c r="K6" i="102"/>
  <c r="L6" i="102"/>
  <c r="M6" i="102"/>
  <c r="N6" i="102"/>
  <c r="O6" i="102"/>
  <c r="C7" i="102"/>
  <c r="J7" i="102" s="1"/>
  <c r="K7" i="102"/>
  <c r="L7" i="102"/>
  <c r="M7" i="102"/>
  <c r="N7" i="102"/>
  <c r="O7" i="102"/>
  <c r="C8" i="102"/>
  <c r="J8" i="102" s="1"/>
  <c r="K8" i="102"/>
  <c r="L8" i="102"/>
  <c r="M8" i="102"/>
  <c r="N8" i="102"/>
  <c r="O8" i="102"/>
  <c r="C9" i="102"/>
  <c r="J9" i="102"/>
  <c r="K9" i="102"/>
  <c r="L9" i="102"/>
  <c r="M9" i="102"/>
  <c r="N9" i="102"/>
  <c r="O9" i="102"/>
  <c r="C10" i="102"/>
  <c r="J10" i="102" s="1"/>
  <c r="K10" i="102"/>
  <c r="L10" i="102"/>
  <c r="M10" i="102"/>
  <c r="N10" i="102"/>
  <c r="O10" i="102"/>
  <c r="C11" i="102"/>
  <c r="J11" i="102" s="1"/>
  <c r="K11" i="102"/>
  <c r="L11" i="102"/>
  <c r="M11" i="102"/>
  <c r="N11" i="102"/>
  <c r="O11" i="102"/>
  <c r="C12" i="102"/>
  <c r="J12" i="102" s="1"/>
  <c r="K12" i="102"/>
  <c r="L12" i="102"/>
  <c r="M12" i="102"/>
  <c r="N12" i="102"/>
  <c r="O12" i="102"/>
  <c r="C13" i="102"/>
  <c r="J13" i="102"/>
  <c r="K13" i="102"/>
  <c r="L13" i="102"/>
  <c r="M13" i="102"/>
  <c r="N13" i="102"/>
  <c r="O13" i="102"/>
  <c r="C14" i="102"/>
  <c r="J14" i="102" s="1"/>
  <c r="K14" i="102"/>
  <c r="L14" i="102"/>
  <c r="M14" i="102"/>
  <c r="N14" i="102"/>
  <c r="O14" i="102"/>
  <c r="C15" i="102"/>
  <c r="J15" i="102" s="1"/>
  <c r="K15" i="102"/>
  <c r="L15" i="102"/>
  <c r="M15" i="102"/>
  <c r="N15" i="102"/>
  <c r="O15" i="102"/>
  <c r="C16" i="102"/>
  <c r="J16" i="102" s="1"/>
  <c r="K16" i="102"/>
  <c r="L16" i="102"/>
  <c r="M16" i="102"/>
  <c r="N16" i="102"/>
  <c r="O16" i="102"/>
  <c r="C17" i="102"/>
  <c r="J17" i="102"/>
  <c r="K17" i="102"/>
  <c r="L17" i="102"/>
  <c r="M17" i="102"/>
  <c r="N17" i="102"/>
  <c r="O17" i="102"/>
  <c r="C18" i="102"/>
  <c r="J18" i="102" s="1"/>
  <c r="K18" i="102"/>
  <c r="L18" i="102"/>
  <c r="M18" i="102"/>
  <c r="N18" i="102"/>
  <c r="O18" i="102"/>
  <c r="C19" i="102"/>
  <c r="J19" i="102" s="1"/>
  <c r="K19" i="102"/>
  <c r="L19" i="102"/>
  <c r="M19" i="102"/>
  <c r="N19" i="102"/>
  <c r="O19" i="102"/>
  <c r="D20" i="102"/>
  <c r="E20" i="102"/>
  <c r="F20" i="102"/>
  <c r="G20" i="102"/>
  <c r="H20" i="102"/>
  <c r="R20" i="102"/>
  <c r="S20" i="102"/>
  <c r="K20" i="102" s="1"/>
  <c r="T20" i="102"/>
  <c r="U20" i="102"/>
  <c r="M20" i="102" s="1"/>
  <c r="V20" i="102"/>
  <c r="N20" i="102" s="1"/>
  <c r="W20" i="102"/>
  <c r="O20" i="102" s="1"/>
  <c r="X20" i="102"/>
  <c r="B21" i="102"/>
  <c r="C26" i="102"/>
  <c r="C45" i="102" s="1"/>
  <c r="J45" i="102" s="1"/>
  <c r="J26" i="102"/>
  <c r="J40" i="102" s="1"/>
  <c r="C27" i="102"/>
  <c r="J27" i="102"/>
  <c r="C46" i="102" s="1"/>
  <c r="J46" i="102" s="1"/>
  <c r="C28" i="102"/>
  <c r="C47" i="102" s="1"/>
  <c r="J47" i="102" s="1"/>
  <c r="J28" i="102"/>
  <c r="C29" i="102"/>
  <c r="J29" i="102"/>
  <c r="C48" i="102" s="1"/>
  <c r="C30" i="102"/>
  <c r="C49" i="102" s="1"/>
  <c r="J49" i="102" s="1"/>
  <c r="J30" i="102"/>
  <c r="C31" i="102"/>
  <c r="J31" i="102"/>
  <c r="C50" i="102" s="1"/>
  <c r="C32" i="102"/>
  <c r="C51" i="102" s="1"/>
  <c r="J51" i="102" s="1"/>
  <c r="J32" i="102"/>
  <c r="C33" i="102"/>
  <c r="J33" i="102"/>
  <c r="C52" i="102" s="1"/>
  <c r="C34" i="102"/>
  <c r="C53" i="102" s="1"/>
  <c r="J53" i="102" s="1"/>
  <c r="J34" i="102"/>
  <c r="C35" i="102"/>
  <c r="J35" i="102"/>
  <c r="C54" i="102" s="1"/>
  <c r="C36" i="102"/>
  <c r="C55" i="102" s="1"/>
  <c r="J55" i="102" s="1"/>
  <c r="J36" i="102"/>
  <c r="C37" i="102"/>
  <c r="J37" i="102"/>
  <c r="C56" i="102" s="1"/>
  <c r="C38" i="102"/>
  <c r="C57" i="102" s="1"/>
  <c r="J57" i="102" s="1"/>
  <c r="J38" i="102"/>
  <c r="C39" i="102"/>
  <c r="J39" i="102"/>
  <c r="C58" i="102" s="1"/>
  <c r="C40" i="102"/>
  <c r="D40" i="102"/>
  <c r="D59" i="102" s="1"/>
  <c r="K59" i="102" s="1"/>
  <c r="E40" i="102"/>
  <c r="F40" i="102"/>
  <c r="F59" i="102" s="1"/>
  <c r="M59" i="102" s="1"/>
  <c r="G40" i="102"/>
  <c r="H40" i="102"/>
  <c r="H59" i="102" s="1"/>
  <c r="O59" i="102" s="1"/>
  <c r="K40" i="102"/>
  <c r="L40" i="102"/>
  <c r="M40" i="102"/>
  <c r="N40" i="102"/>
  <c r="O40" i="102"/>
  <c r="B41" i="102"/>
  <c r="B45" i="102"/>
  <c r="I45" i="102" s="1"/>
  <c r="D45" i="102"/>
  <c r="K45" i="102" s="1"/>
  <c r="E45" i="102"/>
  <c r="F45" i="102"/>
  <c r="M45" i="102" s="1"/>
  <c r="G45" i="102"/>
  <c r="H45" i="102"/>
  <c r="O45" i="102" s="1"/>
  <c r="L45" i="102"/>
  <c r="N45" i="102"/>
  <c r="B46" i="102"/>
  <c r="I46" i="102" s="1"/>
  <c r="D46" i="102"/>
  <c r="K46" i="102" s="1"/>
  <c r="E46" i="102"/>
  <c r="F46" i="102"/>
  <c r="M46" i="102" s="1"/>
  <c r="G46" i="102"/>
  <c r="H46" i="102"/>
  <c r="O46" i="102" s="1"/>
  <c r="L46" i="102"/>
  <c r="N46" i="102"/>
  <c r="B47" i="102"/>
  <c r="I47" i="102" s="1"/>
  <c r="D47" i="102"/>
  <c r="K47" i="102" s="1"/>
  <c r="E47" i="102"/>
  <c r="F47" i="102"/>
  <c r="M47" i="102" s="1"/>
  <c r="G47" i="102"/>
  <c r="H47" i="102"/>
  <c r="O47" i="102" s="1"/>
  <c r="L47" i="102"/>
  <c r="N47" i="102"/>
  <c r="B48" i="102"/>
  <c r="I48" i="102" s="1"/>
  <c r="D48" i="102"/>
  <c r="K48" i="102" s="1"/>
  <c r="E48" i="102"/>
  <c r="F48" i="102"/>
  <c r="M48" i="102" s="1"/>
  <c r="G48" i="102"/>
  <c r="H48" i="102"/>
  <c r="O48" i="102" s="1"/>
  <c r="J48" i="102"/>
  <c r="L48" i="102"/>
  <c r="N48" i="102"/>
  <c r="B49" i="102"/>
  <c r="I49" i="102" s="1"/>
  <c r="D49" i="102"/>
  <c r="K49" i="102" s="1"/>
  <c r="E49" i="102"/>
  <c r="F49" i="102"/>
  <c r="M49" i="102" s="1"/>
  <c r="G49" i="102"/>
  <c r="H49" i="102"/>
  <c r="O49" i="102" s="1"/>
  <c r="L49" i="102"/>
  <c r="N49" i="102"/>
  <c r="B50" i="102"/>
  <c r="I50" i="102" s="1"/>
  <c r="D50" i="102"/>
  <c r="K50" i="102" s="1"/>
  <c r="E50" i="102"/>
  <c r="F50" i="102"/>
  <c r="M50" i="102" s="1"/>
  <c r="G50" i="102"/>
  <c r="H50" i="102"/>
  <c r="O50" i="102" s="1"/>
  <c r="J50" i="102"/>
  <c r="L50" i="102"/>
  <c r="N50" i="102"/>
  <c r="B51" i="102"/>
  <c r="I51" i="102" s="1"/>
  <c r="D51" i="102"/>
  <c r="K51" i="102" s="1"/>
  <c r="E51" i="102"/>
  <c r="F51" i="102"/>
  <c r="M51" i="102" s="1"/>
  <c r="G51" i="102"/>
  <c r="H51" i="102"/>
  <c r="O51" i="102" s="1"/>
  <c r="L51" i="102"/>
  <c r="N51" i="102"/>
  <c r="B52" i="102"/>
  <c r="I52" i="102" s="1"/>
  <c r="D52" i="102"/>
  <c r="K52" i="102" s="1"/>
  <c r="E52" i="102"/>
  <c r="F52" i="102"/>
  <c r="M52" i="102" s="1"/>
  <c r="G52" i="102"/>
  <c r="H52" i="102"/>
  <c r="O52" i="102" s="1"/>
  <c r="J52" i="102"/>
  <c r="L52" i="102"/>
  <c r="N52" i="102"/>
  <c r="B53" i="102"/>
  <c r="I53" i="102" s="1"/>
  <c r="D53" i="102"/>
  <c r="K53" i="102" s="1"/>
  <c r="E53" i="102"/>
  <c r="F53" i="102"/>
  <c r="M53" i="102" s="1"/>
  <c r="G53" i="102"/>
  <c r="H53" i="102"/>
  <c r="O53" i="102" s="1"/>
  <c r="L53" i="102"/>
  <c r="N53" i="102"/>
  <c r="B54" i="102"/>
  <c r="I54" i="102" s="1"/>
  <c r="D54" i="102"/>
  <c r="K54" i="102" s="1"/>
  <c r="E54" i="102"/>
  <c r="F54" i="102"/>
  <c r="M54" i="102" s="1"/>
  <c r="G54" i="102"/>
  <c r="H54" i="102"/>
  <c r="O54" i="102" s="1"/>
  <c r="J54" i="102"/>
  <c r="L54" i="102"/>
  <c r="N54" i="102"/>
  <c r="B55" i="102"/>
  <c r="I55" i="102" s="1"/>
  <c r="D55" i="102"/>
  <c r="K55" i="102" s="1"/>
  <c r="E55" i="102"/>
  <c r="F55" i="102"/>
  <c r="M55" i="102" s="1"/>
  <c r="G55" i="102"/>
  <c r="H55" i="102"/>
  <c r="O55" i="102" s="1"/>
  <c r="L55" i="102"/>
  <c r="N55" i="102"/>
  <c r="B56" i="102"/>
  <c r="I56" i="102" s="1"/>
  <c r="D56" i="102"/>
  <c r="K56" i="102" s="1"/>
  <c r="E56" i="102"/>
  <c r="F56" i="102"/>
  <c r="M56" i="102" s="1"/>
  <c r="G56" i="102"/>
  <c r="H56" i="102"/>
  <c r="O56" i="102" s="1"/>
  <c r="J56" i="102"/>
  <c r="L56" i="102"/>
  <c r="N56" i="102"/>
  <c r="B57" i="102"/>
  <c r="I57" i="102" s="1"/>
  <c r="D57" i="102"/>
  <c r="K57" i="102" s="1"/>
  <c r="E57" i="102"/>
  <c r="F57" i="102"/>
  <c r="M57" i="102" s="1"/>
  <c r="G57" i="102"/>
  <c r="H57" i="102"/>
  <c r="O57" i="102" s="1"/>
  <c r="L57" i="102"/>
  <c r="N57" i="102"/>
  <c r="B58" i="102"/>
  <c r="I58" i="102" s="1"/>
  <c r="D58" i="102"/>
  <c r="K58" i="102" s="1"/>
  <c r="E58" i="102"/>
  <c r="F58" i="102"/>
  <c r="M58" i="102" s="1"/>
  <c r="G58" i="102"/>
  <c r="H58" i="102"/>
  <c r="O58" i="102" s="1"/>
  <c r="J58" i="102"/>
  <c r="L58" i="102"/>
  <c r="N58" i="102"/>
  <c r="C59" i="102"/>
  <c r="E59" i="102"/>
  <c r="L59" i="102" s="1"/>
  <c r="G59" i="102"/>
  <c r="N59" i="102"/>
  <c r="D60" i="102"/>
  <c r="E60" i="102"/>
  <c r="L60" i="102" s="1"/>
  <c r="F60" i="102"/>
  <c r="M60" i="102" s="1"/>
  <c r="G60" i="102"/>
  <c r="H60" i="102"/>
  <c r="K60" i="102"/>
  <c r="N60" i="102"/>
  <c r="O60" i="102"/>
  <c r="B7" i="113"/>
  <c r="H7" i="113"/>
  <c r="N7" i="113"/>
  <c r="U7" i="113"/>
  <c r="V7" i="113"/>
  <c r="W7" i="113"/>
  <c r="X7" i="113"/>
  <c r="Y7" i="113"/>
  <c r="B8" i="113"/>
  <c r="K30" i="113" s="1"/>
  <c r="H8" i="113"/>
  <c r="N8" i="113"/>
  <c r="M30" i="113" s="1"/>
  <c r="U8" i="113"/>
  <c r="V8" i="113"/>
  <c r="W8" i="113"/>
  <c r="X8" i="113"/>
  <c r="Y8" i="113"/>
  <c r="B9" i="113"/>
  <c r="H9" i="113"/>
  <c r="N9" i="113"/>
  <c r="U9" i="113"/>
  <c r="V9" i="113"/>
  <c r="E31" i="113" s="1"/>
  <c r="W9" i="113"/>
  <c r="X9" i="113"/>
  <c r="G31" i="113" s="1"/>
  <c r="Y9" i="113"/>
  <c r="B10" i="113"/>
  <c r="K32" i="113" s="1"/>
  <c r="H10" i="113"/>
  <c r="N10" i="113"/>
  <c r="M32" i="113" s="1"/>
  <c r="U10" i="113"/>
  <c r="D32" i="113" s="1"/>
  <c r="V10" i="113"/>
  <c r="E32" i="113" s="1"/>
  <c r="W10" i="113"/>
  <c r="X10" i="113"/>
  <c r="G32" i="113" s="1"/>
  <c r="Y10" i="113"/>
  <c r="H32" i="113" s="1"/>
  <c r="B11" i="113"/>
  <c r="H11" i="113"/>
  <c r="N11" i="113"/>
  <c r="U11" i="113"/>
  <c r="V11" i="113"/>
  <c r="E33" i="113" s="1"/>
  <c r="W11" i="113"/>
  <c r="X11" i="113"/>
  <c r="G33" i="113" s="1"/>
  <c r="Y11" i="113"/>
  <c r="B12" i="113"/>
  <c r="K34" i="113" s="1"/>
  <c r="H12" i="113"/>
  <c r="N12" i="113"/>
  <c r="M34" i="113" s="1"/>
  <c r="U12" i="113"/>
  <c r="V12" i="113"/>
  <c r="W12" i="113"/>
  <c r="X12" i="113"/>
  <c r="Y12" i="113"/>
  <c r="B13" i="113"/>
  <c r="H13" i="113"/>
  <c r="N13" i="113"/>
  <c r="U13" i="113"/>
  <c r="V13" i="113"/>
  <c r="E35" i="113" s="1"/>
  <c r="W13" i="113"/>
  <c r="X13" i="113"/>
  <c r="G35" i="113" s="1"/>
  <c r="Y13" i="113"/>
  <c r="B14" i="113"/>
  <c r="K36" i="113" s="1"/>
  <c r="H14" i="113"/>
  <c r="N14" i="113"/>
  <c r="M36" i="113" s="1"/>
  <c r="U14" i="113"/>
  <c r="D36" i="113" s="1"/>
  <c r="V14" i="113"/>
  <c r="E36" i="113" s="1"/>
  <c r="W14" i="113"/>
  <c r="X14" i="113"/>
  <c r="G36" i="113" s="1"/>
  <c r="Y14" i="113"/>
  <c r="H36" i="113" s="1"/>
  <c r="B15" i="113"/>
  <c r="H15" i="113"/>
  <c r="N15" i="113"/>
  <c r="U15" i="113"/>
  <c r="V15" i="113"/>
  <c r="W15" i="113"/>
  <c r="X15" i="113"/>
  <c r="G37" i="113" s="1"/>
  <c r="Y15" i="113"/>
  <c r="B16" i="113"/>
  <c r="K38" i="113" s="1"/>
  <c r="H16" i="113"/>
  <c r="N16" i="113"/>
  <c r="M38" i="113" s="1"/>
  <c r="U16" i="113"/>
  <c r="V16" i="113"/>
  <c r="W16" i="113"/>
  <c r="X16" i="113"/>
  <c r="Y16" i="113"/>
  <c r="B17" i="113"/>
  <c r="H17" i="113"/>
  <c r="N17" i="113"/>
  <c r="U17" i="113"/>
  <c r="V17" i="113"/>
  <c r="W17" i="113"/>
  <c r="X17" i="113"/>
  <c r="G39" i="113" s="1"/>
  <c r="Y17" i="113"/>
  <c r="B18" i="113"/>
  <c r="K40" i="113" s="1"/>
  <c r="H18" i="113"/>
  <c r="N18" i="113"/>
  <c r="M40" i="113" s="1"/>
  <c r="U18" i="113"/>
  <c r="D40" i="113" s="1"/>
  <c r="V18" i="113"/>
  <c r="E40" i="113" s="1"/>
  <c r="W18" i="113"/>
  <c r="X18" i="113"/>
  <c r="G40" i="113" s="1"/>
  <c r="Y18" i="113"/>
  <c r="H40" i="113" s="1"/>
  <c r="B19" i="113"/>
  <c r="H19" i="113"/>
  <c r="N19" i="113"/>
  <c r="U19" i="113"/>
  <c r="V19" i="113"/>
  <c r="W19" i="113"/>
  <c r="X19" i="113"/>
  <c r="G41" i="113" s="1"/>
  <c r="Y19" i="113"/>
  <c r="B20" i="113"/>
  <c r="K42" i="113" s="1"/>
  <c r="H20" i="113"/>
  <c r="N20" i="113"/>
  <c r="M42" i="113" s="1"/>
  <c r="U20" i="113"/>
  <c r="V20" i="113"/>
  <c r="W20" i="113"/>
  <c r="X20" i="113"/>
  <c r="Y20" i="113"/>
  <c r="B21" i="113"/>
  <c r="C21" i="113"/>
  <c r="D21" i="113"/>
  <c r="E21" i="113"/>
  <c r="F21" i="113"/>
  <c r="G21" i="113"/>
  <c r="H21" i="113"/>
  <c r="I21" i="113"/>
  <c r="J21" i="113"/>
  <c r="K21" i="113"/>
  <c r="L21" i="113"/>
  <c r="M21" i="113"/>
  <c r="O21" i="113"/>
  <c r="P21" i="113"/>
  <c r="Q21" i="113"/>
  <c r="R21" i="113"/>
  <c r="S21" i="113"/>
  <c r="U21" i="113"/>
  <c r="W21" i="113"/>
  <c r="Y21" i="113"/>
  <c r="X28" i="113"/>
  <c r="D29" i="113"/>
  <c r="F29" i="113"/>
  <c r="H29" i="113"/>
  <c r="J29" i="113"/>
  <c r="K29" i="113"/>
  <c r="L29" i="113"/>
  <c r="M29" i="113"/>
  <c r="M43" i="113" s="1"/>
  <c r="P29" i="113"/>
  <c r="X29" i="113"/>
  <c r="D30" i="113"/>
  <c r="E30" i="113"/>
  <c r="F30" i="113"/>
  <c r="G30" i="113"/>
  <c r="H30" i="113"/>
  <c r="J30" i="113"/>
  <c r="L30" i="113"/>
  <c r="P30" i="113"/>
  <c r="P43" i="113" s="1"/>
  <c r="X30" i="113"/>
  <c r="D31" i="113"/>
  <c r="F31" i="113"/>
  <c r="H31" i="113"/>
  <c r="J31" i="113"/>
  <c r="K31" i="113"/>
  <c r="L31" i="113"/>
  <c r="M31" i="113"/>
  <c r="P31" i="113"/>
  <c r="X31" i="113"/>
  <c r="F32" i="113"/>
  <c r="J32" i="113"/>
  <c r="L32" i="113"/>
  <c r="P32" i="113"/>
  <c r="X32" i="113"/>
  <c r="D33" i="113"/>
  <c r="F33" i="113"/>
  <c r="H33" i="113"/>
  <c r="J33" i="113"/>
  <c r="K33" i="113"/>
  <c r="L33" i="113"/>
  <c r="M33" i="113"/>
  <c r="P33" i="113"/>
  <c r="X33" i="113"/>
  <c r="D34" i="113"/>
  <c r="E34" i="113"/>
  <c r="F34" i="113"/>
  <c r="G34" i="113"/>
  <c r="H34" i="113"/>
  <c r="J34" i="113"/>
  <c r="L34" i="113"/>
  <c r="P34" i="113"/>
  <c r="X34" i="113"/>
  <c r="D35" i="113"/>
  <c r="F35" i="113"/>
  <c r="H35" i="113"/>
  <c r="J35" i="113"/>
  <c r="K35" i="113"/>
  <c r="K43" i="113" s="1"/>
  <c r="L35" i="113"/>
  <c r="M35" i="113"/>
  <c r="P35" i="113"/>
  <c r="X35" i="113"/>
  <c r="F36" i="113"/>
  <c r="J36" i="113"/>
  <c r="L36" i="113"/>
  <c r="P36" i="113"/>
  <c r="X36" i="113"/>
  <c r="D37" i="113"/>
  <c r="F37" i="113"/>
  <c r="H37" i="113"/>
  <c r="J37" i="113"/>
  <c r="K37" i="113"/>
  <c r="L37" i="113"/>
  <c r="M37" i="113"/>
  <c r="P37" i="113"/>
  <c r="X37" i="113"/>
  <c r="D38" i="113"/>
  <c r="E38" i="113"/>
  <c r="F38" i="113"/>
  <c r="G38" i="113"/>
  <c r="H38" i="113"/>
  <c r="J38" i="113"/>
  <c r="L38" i="113"/>
  <c r="P38" i="113"/>
  <c r="X38" i="113"/>
  <c r="D39" i="113"/>
  <c r="F39" i="113"/>
  <c r="H39" i="113"/>
  <c r="J39" i="113"/>
  <c r="K39" i="113"/>
  <c r="L39" i="113"/>
  <c r="M39" i="113"/>
  <c r="P39" i="113"/>
  <c r="X39" i="113"/>
  <c r="F40" i="113"/>
  <c r="J40" i="113"/>
  <c r="L40" i="113"/>
  <c r="P40" i="113"/>
  <c r="X40" i="113"/>
  <c r="D41" i="113"/>
  <c r="F41" i="113"/>
  <c r="H41" i="113"/>
  <c r="J41" i="113"/>
  <c r="K41" i="113"/>
  <c r="L41" i="113"/>
  <c r="M41" i="113"/>
  <c r="P41" i="113"/>
  <c r="X41" i="113"/>
  <c r="D42" i="113"/>
  <c r="E42" i="113"/>
  <c r="F42" i="113"/>
  <c r="G42" i="113"/>
  <c r="H42" i="113"/>
  <c r="J42" i="113"/>
  <c r="L42" i="113"/>
  <c r="P42" i="113"/>
  <c r="Y42" i="113"/>
  <c r="Z42" i="113"/>
  <c r="AA42" i="113"/>
  <c r="AB42" i="113"/>
  <c r="AC42" i="113"/>
  <c r="N43" i="113"/>
  <c r="Q43" i="113"/>
  <c r="R43" i="113"/>
  <c r="S43" i="113"/>
  <c r="T43" i="113"/>
  <c r="U43" i="113"/>
  <c r="B44" i="113"/>
  <c r="O44" i="113"/>
  <c r="H55" i="112"/>
  <c r="L55" i="112"/>
  <c r="J7" i="43"/>
  <c r="K7" i="43"/>
  <c r="J8" i="43"/>
  <c r="K8" i="43"/>
  <c r="E9" i="43"/>
  <c r="F9" i="43"/>
  <c r="J9" i="43"/>
  <c r="K9" i="43"/>
  <c r="J10" i="43"/>
  <c r="K10" i="43"/>
  <c r="J11" i="43"/>
  <c r="K11" i="43"/>
  <c r="J12" i="43"/>
  <c r="K12" i="43"/>
  <c r="E13" i="43"/>
  <c r="F13" i="43"/>
  <c r="J13" i="43"/>
  <c r="K13" i="43"/>
  <c r="E14" i="43"/>
  <c r="F14" i="43"/>
  <c r="J14" i="43"/>
  <c r="K14" i="43"/>
  <c r="J15" i="43"/>
  <c r="K15" i="43"/>
  <c r="E16" i="43"/>
  <c r="F16" i="43"/>
  <c r="J16" i="43"/>
  <c r="K16" i="43"/>
  <c r="F17" i="43"/>
  <c r="J17" i="43"/>
  <c r="K17" i="43"/>
  <c r="E18" i="43"/>
  <c r="F18" i="43"/>
  <c r="J18" i="43"/>
  <c r="K18" i="43"/>
  <c r="E19" i="43"/>
  <c r="J19" i="43"/>
  <c r="K19" i="43"/>
  <c r="J20" i="43"/>
  <c r="K20" i="43"/>
  <c r="B21" i="43"/>
  <c r="C21" i="43"/>
  <c r="E21" i="43" s="1"/>
  <c r="D21" i="43"/>
  <c r="F21" i="43"/>
  <c r="G21" i="43"/>
  <c r="H21" i="43"/>
  <c r="K21" i="43" s="1"/>
  <c r="I21" i="43"/>
  <c r="L21" i="43"/>
  <c r="M21" i="43"/>
  <c r="N21" i="43"/>
  <c r="E26" i="43"/>
  <c r="F26" i="43"/>
  <c r="E27" i="43"/>
  <c r="F27" i="43"/>
  <c r="E28" i="43"/>
  <c r="F28" i="43"/>
  <c r="E29" i="43"/>
  <c r="F29" i="43"/>
  <c r="E30" i="43"/>
  <c r="F30" i="43"/>
  <c r="E31" i="43"/>
  <c r="F31" i="43"/>
  <c r="E32" i="43"/>
  <c r="F32" i="43"/>
  <c r="E33" i="43"/>
  <c r="F33" i="43"/>
  <c r="E34" i="43"/>
  <c r="F34" i="43"/>
  <c r="E35" i="43"/>
  <c r="F35" i="43"/>
  <c r="E36" i="43"/>
  <c r="F36" i="43"/>
  <c r="E37" i="43"/>
  <c r="F37" i="43"/>
  <c r="E38" i="43"/>
  <c r="F38" i="43"/>
  <c r="E39" i="43"/>
  <c r="F39" i="43"/>
  <c r="B40" i="43"/>
  <c r="C40" i="43"/>
  <c r="F40" i="43" s="1"/>
  <c r="D40" i="43"/>
  <c r="E40" i="43"/>
  <c r="G40" i="43"/>
  <c r="H40" i="43"/>
  <c r="I40" i="43"/>
  <c r="J40" i="43"/>
  <c r="K40" i="43"/>
  <c r="L40" i="43"/>
  <c r="M40" i="43"/>
  <c r="B7" i="111"/>
  <c r="H7" i="111"/>
  <c r="B8" i="111"/>
  <c r="H8" i="111"/>
  <c r="B9" i="111"/>
  <c r="H9" i="111"/>
  <c r="B10" i="111"/>
  <c r="H10" i="111"/>
  <c r="B11" i="111"/>
  <c r="H11" i="111"/>
  <c r="B12" i="111"/>
  <c r="H12" i="111"/>
  <c r="B13" i="111"/>
  <c r="H13" i="111"/>
  <c r="B14" i="111"/>
  <c r="H14" i="111"/>
  <c r="B15" i="111"/>
  <c r="H15" i="111"/>
  <c r="B16" i="111"/>
  <c r="H16" i="111"/>
  <c r="B17" i="111"/>
  <c r="H17" i="111"/>
  <c r="B18" i="111"/>
  <c r="H18" i="111"/>
  <c r="B19" i="111"/>
  <c r="H19" i="111"/>
  <c r="B20" i="111"/>
  <c r="H20" i="111"/>
  <c r="B21" i="111"/>
  <c r="C21" i="111"/>
  <c r="D21" i="111"/>
  <c r="E21" i="111"/>
  <c r="F21" i="111"/>
  <c r="G21" i="111"/>
  <c r="I21" i="111"/>
  <c r="J21" i="111"/>
  <c r="K21" i="111"/>
  <c r="L21" i="111"/>
  <c r="B28" i="111"/>
  <c r="H28" i="111"/>
  <c r="B29" i="111"/>
  <c r="B42" i="111" s="1"/>
  <c r="H29" i="111"/>
  <c r="B30" i="111"/>
  <c r="H30" i="111"/>
  <c r="B31" i="111"/>
  <c r="H31" i="111"/>
  <c r="B32" i="111"/>
  <c r="H32" i="111"/>
  <c r="B33" i="111"/>
  <c r="H33" i="111"/>
  <c r="B34" i="111"/>
  <c r="H34" i="111"/>
  <c r="B35" i="111"/>
  <c r="H35" i="111"/>
  <c r="B36" i="111"/>
  <c r="H36" i="111"/>
  <c r="B37" i="111"/>
  <c r="H37" i="111"/>
  <c r="B38" i="111"/>
  <c r="H38" i="111"/>
  <c r="B39" i="111"/>
  <c r="H39" i="111"/>
  <c r="B40" i="111"/>
  <c r="H40" i="111"/>
  <c r="B41" i="111"/>
  <c r="H41" i="111"/>
  <c r="C42" i="111"/>
  <c r="D42" i="111"/>
  <c r="E42" i="111"/>
  <c r="F42" i="111"/>
  <c r="G42" i="111"/>
  <c r="H42" i="111"/>
  <c r="I42" i="111"/>
  <c r="J42" i="111"/>
  <c r="K42" i="111"/>
  <c r="L42" i="111"/>
  <c r="E8" i="110"/>
  <c r="E9" i="110"/>
  <c r="E10" i="110"/>
  <c r="E11" i="110"/>
  <c r="E12" i="110"/>
  <c r="E13" i="110"/>
  <c r="E14" i="110"/>
  <c r="E15" i="110"/>
  <c r="E16" i="110"/>
  <c r="E17" i="110"/>
  <c r="E18" i="110"/>
  <c r="E19" i="110"/>
  <c r="E20" i="110"/>
  <c r="E21" i="110"/>
  <c r="D24" i="110"/>
  <c r="E24" i="110"/>
  <c r="F24" i="110"/>
  <c r="G24" i="110"/>
  <c r="H24" i="110"/>
  <c r="D48" i="110"/>
  <c r="E48" i="110"/>
  <c r="F48" i="110"/>
  <c r="G48" i="110"/>
  <c r="H48" i="110"/>
  <c r="I48" i="110"/>
  <c r="C6" i="109"/>
  <c r="C7" i="109"/>
  <c r="C8" i="109"/>
  <c r="C9" i="109"/>
  <c r="C10" i="109"/>
  <c r="C11" i="109"/>
  <c r="C12" i="109"/>
  <c r="C13" i="109"/>
  <c r="C14" i="109"/>
  <c r="C15" i="109"/>
  <c r="C16" i="109"/>
  <c r="C17" i="109"/>
  <c r="C18" i="109"/>
  <c r="C19" i="109"/>
  <c r="B20" i="109"/>
  <c r="D20" i="109"/>
  <c r="E20" i="109"/>
  <c r="F20" i="109"/>
  <c r="G20" i="109"/>
  <c r="H20" i="109"/>
  <c r="I20" i="109"/>
  <c r="J20" i="109"/>
  <c r="K20" i="109"/>
  <c r="L20" i="109"/>
  <c r="M20" i="109"/>
  <c r="N20" i="109"/>
  <c r="D35" i="108"/>
  <c r="E35" i="108"/>
  <c r="G35" i="108"/>
  <c r="H35" i="108"/>
  <c r="I35" i="108"/>
  <c r="J35" i="108"/>
  <c r="K35" i="108"/>
  <c r="L35" i="108"/>
  <c r="M35" i="108"/>
  <c r="D36" i="108"/>
  <c r="E36" i="108"/>
  <c r="G36" i="108"/>
  <c r="H36" i="108"/>
  <c r="I36" i="108"/>
  <c r="J36" i="108"/>
  <c r="K36" i="108"/>
  <c r="L36" i="108"/>
  <c r="M36" i="108"/>
  <c r="B7" i="106"/>
  <c r="C7" i="106"/>
  <c r="D7" i="106" s="1"/>
  <c r="G7" i="106"/>
  <c r="J7" i="106"/>
  <c r="M7" i="106"/>
  <c r="P7" i="106"/>
  <c r="S7" i="106"/>
  <c r="U7" i="106"/>
  <c r="V7" i="106"/>
  <c r="V27" i="106" s="1"/>
  <c r="Z7" i="106"/>
  <c r="AC7" i="106"/>
  <c r="AF7" i="106"/>
  <c r="AI7" i="106"/>
  <c r="AL7" i="106"/>
  <c r="B8" i="106"/>
  <c r="C8" i="106"/>
  <c r="D8" i="106" s="1"/>
  <c r="G8" i="106"/>
  <c r="J8" i="106"/>
  <c r="M8" i="106"/>
  <c r="P8" i="106"/>
  <c r="S8" i="106"/>
  <c r="U8" i="106"/>
  <c r="V8" i="106"/>
  <c r="W8" i="106" s="1"/>
  <c r="Z8" i="106"/>
  <c r="AC8" i="106"/>
  <c r="AF8" i="106"/>
  <c r="AI8" i="106"/>
  <c r="AL8" i="106"/>
  <c r="B9" i="106"/>
  <c r="C9" i="106"/>
  <c r="D9" i="106" s="1"/>
  <c r="G9" i="106"/>
  <c r="J9" i="106"/>
  <c r="M9" i="106"/>
  <c r="P9" i="106"/>
  <c r="S9" i="106"/>
  <c r="U9" i="106"/>
  <c r="V9" i="106"/>
  <c r="W9" i="106" s="1"/>
  <c r="Z9" i="106"/>
  <c r="AC9" i="106"/>
  <c r="AF9" i="106"/>
  <c r="AI9" i="106"/>
  <c r="AL9" i="106"/>
  <c r="B10" i="106"/>
  <c r="C10" i="106"/>
  <c r="D10" i="106" s="1"/>
  <c r="G10" i="106"/>
  <c r="J10" i="106"/>
  <c r="M10" i="106"/>
  <c r="P10" i="106"/>
  <c r="S10" i="106"/>
  <c r="U10" i="106"/>
  <c r="V10" i="106"/>
  <c r="W10" i="106" s="1"/>
  <c r="Z10" i="106"/>
  <c r="AC10" i="106"/>
  <c r="AF10" i="106"/>
  <c r="AI10" i="106"/>
  <c r="AL10" i="106"/>
  <c r="B11" i="106"/>
  <c r="C11" i="106"/>
  <c r="D11" i="106" s="1"/>
  <c r="G11" i="106"/>
  <c r="J11" i="106"/>
  <c r="M11" i="106"/>
  <c r="P11" i="106"/>
  <c r="S11" i="106"/>
  <c r="U11" i="106"/>
  <c r="V11" i="106"/>
  <c r="W11" i="106" s="1"/>
  <c r="Z11" i="106"/>
  <c r="AC11" i="106"/>
  <c r="AF11" i="106"/>
  <c r="AI11" i="106"/>
  <c r="AL11" i="106"/>
  <c r="B12" i="106"/>
  <c r="C12" i="106"/>
  <c r="D12" i="106" s="1"/>
  <c r="G12" i="106"/>
  <c r="J12" i="106"/>
  <c r="M12" i="106"/>
  <c r="P12" i="106"/>
  <c r="S12" i="106"/>
  <c r="U12" i="106"/>
  <c r="V12" i="106"/>
  <c r="W12" i="106" s="1"/>
  <c r="Z12" i="106"/>
  <c r="AC12" i="106"/>
  <c r="AF12" i="106"/>
  <c r="AI12" i="106"/>
  <c r="AL12" i="106"/>
  <c r="B13" i="106"/>
  <c r="C13" i="106"/>
  <c r="D13" i="106" s="1"/>
  <c r="G13" i="106"/>
  <c r="J13" i="106"/>
  <c r="M13" i="106"/>
  <c r="P13" i="106"/>
  <c r="S13" i="106"/>
  <c r="U13" i="106"/>
  <c r="V13" i="106"/>
  <c r="W13" i="106" s="1"/>
  <c r="Z13" i="106"/>
  <c r="AC13" i="106"/>
  <c r="AF13" i="106"/>
  <c r="AI13" i="106"/>
  <c r="AL13" i="106"/>
  <c r="B14" i="106"/>
  <c r="C14" i="106"/>
  <c r="D14" i="106" s="1"/>
  <c r="G14" i="106"/>
  <c r="J14" i="106"/>
  <c r="M14" i="106"/>
  <c r="P14" i="106"/>
  <c r="S14" i="106"/>
  <c r="U14" i="106"/>
  <c r="V14" i="106"/>
  <c r="W14" i="106" s="1"/>
  <c r="Z14" i="106"/>
  <c r="AC14" i="106"/>
  <c r="AF14" i="106"/>
  <c r="AI14" i="106"/>
  <c r="AL14" i="106"/>
  <c r="B15" i="106"/>
  <c r="C15" i="106"/>
  <c r="D15" i="106" s="1"/>
  <c r="G15" i="106"/>
  <c r="J15" i="106"/>
  <c r="M15" i="106"/>
  <c r="P15" i="106"/>
  <c r="S15" i="106"/>
  <c r="U15" i="106"/>
  <c r="V15" i="106"/>
  <c r="W15" i="106" s="1"/>
  <c r="Z15" i="106"/>
  <c r="AC15" i="106"/>
  <c r="AF15" i="106"/>
  <c r="AI15" i="106"/>
  <c r="AL15" i="106"/>
  <c r="B16" i="106"/>
  <c r="C16" i="106"/>
  <c r="D16" i="106" s="1"/>
  <c r="G16" i="106"/>
  <c r="J16" i="106"/>
  <c r="M16" i="106"/>
  <c r="P16" i="106"/>
  <c r="S16" i="106"/>
  <c r="U16" i="106"/>
  <c r="V16" i="106"/>
  <c r="W16" i="106" s="1"/>
  <c r="Z16" i="106"/>
  <c r="AC16" i="106"/>
  <c r="AF16" i="106"/>
  <c r="AI16" i="106"/>
  <c r="AL16" i="106"/>
  <c r="B17" i="106"/>
  <c r="C17" i="106"/>
  <c r="D17" i="106" s="1"/>
  <c r="G17" i="106"/>
  <c r="J17" i="106"/>
  <c r="M17" i="106"/>
  <c r="P17" i="106"/>
  <c r="S17" i="106"/>
  <c r="U17" i="106"/>
  <c r="V17" i="106"/>
  <c r="W17" i="106" s="1"/>
  <c r="Z17" i="106"/>
  <c r="AC17" i="106"/>
  <c r="AF17" i="106"/>
  <c r="AI17" i="106"/>
  <c r="AL17" i="106"/>
  <c r="B18" i="106"/>
  <c r="C18" i="106"/>
  <c r="D18" i="106" s="1"/>
  <c r="G18" i="106"/>
  <c r="J18" i="106"/>
  <c r="M18" i="106"/>
  <c r="P18" i="106"/>
  <c r="S18" i="106"/>
  <c r="U18" i="106"/>
  <c r="V18" i="106"/>
  <c r="W18" i="106" s="1"/>
  <c r="Z18" i="106"/>
  <c r="AC18" i="106"/>
  <c r="AF18" i="106"/>
  <c r="AI18" i="106"/>
  <c r="AL18" i="106"/>
  <c r="B19" i="106"/>
  <c r="C19" i="106"/>
  <c r="D19" i="106" s="1"/>
  <c r="G19" i="106"/>
  <c r="J19" i="106"/>
  <c r="M19" i="106"/>
  <c r="P19" i="106"/>
  <c r="S19" i="106"/>
  <c r="U19" i="106"/>
  <c r="V19" i="106"/>
  <c r="W19" i="106" s="1"/>
  <c r="Z19" i="106"/>
  <c r="AC19" i="106"/>
  <c r="AF19" i="106"/>
  <c r="AI19" i="106"/>
  <c r="AL19" i="106"/>
  <c r="B20" i="106"/>
  <c r="C20" i="106"/>
  <c r="D20" i="106" s="1"/>
  <c r="G20" i="106"/>
  <c r="J20" i="106"/>
  <c r="M20" i="106"/>
  <c r="P20" i="106"/>
  <c r="S20" i="106"/>
  <c r="U20" i="106"/>
  <c r="V20" i="106"/>
  <c r="W20" i="106" s="1"/>
  <c r="Z20" i="106"/>
  <c r="AC20" i="106"/>
  <c r="AF20" i="106"/>
  <c r="AI20" i="106"/>
  <c r="AL20" i="106"/>
  <c r="B21" i="106"/>
  <c r="C21" i="106"/>
  <c r="D21" i="106" s="1"/>
  <c r="E21" i="106"/>
  <c r="F21" i="106"/>
  <c r="G21" i="106" s="1"/>
  <c r="H21" i="106"/>
  <c r="I21" i="106"/>
  <c r="K21" i="106"/>
  <c r="L21" i="106"/>
  <c r="M21" i="106" s="1"/>
  <c r="N21" i="106"/>
  <c r="P21" i="106" s="1"/>
  <c r="O21" i="106"/>
  <c r="Q21" i="106"/>
  <c r="R21" i="106"/>
  <c r="S21" i="106" s="1"/>
  <c r="X21" i="106"/>
  <c r="Y21" i="106"/>
  <c r="AA21" i="106"/>
  <c r="AB21" i="106"/>
  <c r="AC21" i="106"/>
  <c r="AD21" i="106"/>
  <c r="AE21" i="106"/>
  <c r="AF21" i="106" s="1"/>
  <c r="AG21" i="106"/>
  <c r="AH21" i="106"/>
  <c r="AI21" i="106" s="1"/>
  <c r="AJ21" i="106"/>
  <c r="AK21" i="106"/>
  <c r="B27" i="106"/>
  <c r="C27" i="106"/>
  <c r="D27" i="106"/>
  <c r="G27" i="106"/>
  <c r="J27" i="106"/>
  <c r="M27" i="106"/>
  <c r="P27" i="106"/>
  <c r="S27" i="106"/>
  <c r="U27" i="106"/>
  <c r="W27" i="106"/>
  <c r="X27" i="106"/>
  <c r="Y27" i="106"/>
  <c r="AA27" i="106"/>
  <c r="AB27" i="106"/>
  <c r="AC27" i="106"/>
  <c r="AD27" i="106"/>
  <c r="AE27" i="106"/>
  <c r="AG27" i="106"/>
  <c r="AH27" i="106"/>
  <c r="AI27" i="106" s="1"/>
  <c r="AJ27" i="106"/>
  <c r="AK27" i="106"/>
  <c r="AL27" i="106" s="1"/>
  <c r="B28" i="106"/>
  <c r="B41" i="106" s="1"/>
  <c r="B65" i="106" s="1"/>
  <c r="C28" i="106"/>
  <c r="G28" i="106"/>
  <c r="J28" i="106"/>
  <c r="M28" i="106"/>
  <c r="P28" i="106"/>
  <c r="S28" i="106"/>
  <c r="U28" i="106"/>
  <c r="V28" i="106"/>
  <c r="W28" i="106" s="1"/>
  <c r="X28" i="106"/>
  <c r="Y28" i="106"/>
  <c r="AA28" i="106"/>
  <c r="AC28" i="106" s="1"/>
  <c r="AB28" i="106"/>
  <c r="AD28" i="106"/>
  <c r="AE28" i="106"/>
  <c r="AF28" i="106" s="1"/>
  <c r="AG28" i="106"/>
  <c r="AH28" i="106"/>
  <c r="AI28" i="106" s="1"/>
  <c r="AJ28" i="106"/>
  <c r="AK28" i="106"/>
  <c r="B29" i="106"/>
  <c r="C29" i="106"/>
  <c r="D29" i="106"/>
  <c r="J29" i="106"/>
  <c r="M29" i="106"/>
  <c r="P29" i="106"/>
  <c r="S29" i="106"/>
  <c r="U29" i="106"/>
  <c r="X29" i="106"/>
  <c r="Y29" i="106"/>
  <c r="Z29" i="106"/>
  <c r="AA29" i="106"/>
  <c r="AB29" i="106"/>
  <c r="AD29" i="106"/>
  <c r="AE29" i="106"/>
  <c r="AF29" i="106" s="1"/>
  <c r="AG29" i="106"/>
  <c r="AH29" i="106"/>
  <c r="AI29" i="106" s="1"/>
  <c r="AJ29" i="106"/>
  <c r="AK29" i="106"/>
  <c r="AL29" i="106" s="1"/>
  <c r="B30" i="106"/>
  <c r="C30" i="106"/>
  <c r="D30" i="106" s="1"/>
  <c r="G30" i="106"/>
  <c r="J30" i="106"/>
  <c r="M30" i="106"/>
  <c r="P30" i="106"/>
  <c r="S30" i="106"/>
  <c r="U30" i="106"/>
  <c r="V30" i="106"/>
  <c r="W30" i="106" s="1"/>
  <c r="X30" i="106"/>
  <c r="Y30" i="106"/>
  <c r="Z30" i="106" s="1"/>
  <c r="AA30" i="106"/>
  <c r="AB30" i="106"/>
  <c r="AC30" i="106" s="1"/>
  <c r="AD30" i="106"/>
  <c r="AE30" i="106"/>
  <c r="AF30" i="106"/>
  <c r="AG30" i="106"/>
  <c r="AH30" i="106"/>
  <c r="AJ30" i="106"/>
  <c r="AK30" i="106"/>
  <c r="AL30" i="106"/>
  <c r="B31" i="106"/>
  <c r="C31" i="106"/>
  <c r="G31" i="106"/>
  <c r="J31" i="106"/>
  <c r="M31" i="106"/>
  <c r="P31" i="106"/>
  <c r="S31" i="106"/>
  <c r="U31" i="106"/>
  <c r="X31" i="106"/>
  <c r="Y31" i="106"/>
  <c r="Z31" i="106"/>
  <c r="AA31" i="106"/>
  <c r="AB31" i="106"/>
  <c r="AD31" i="106"/>
  <c r="AE31" i="106"/>
  <c r="AF31" i="106" s="1"/>
  <c r="AG31" i="106"/>
  <c r="AH31" i="106"/>
  <c r="AI31" i="106" s="1"/>
  <c r="AJ31" i="106"/>
  <c r="AK31" i="106"/>
  <c r="AL31" i="106" s="1"/>
  <c r="B32" i="106"/>
  <c r="C32" i="106"/>
  <c r="D32" i="106" s="1"/>
  <c r="G32" i="106"/>
  <c r="J32" i="106"/>
  <c r="M32" i="106"/>
  <c r="P32" i="106"/>
  <c r="S32" i="106"/>
  <c r="U32" i="106"/>
  <c r="V32" i="106"/>
  <c r="W32" i="106" s="1"/>
  <c r="X32" i="106"/>
  <c r="Y32" i="106"/>
  <c r="Z32" i="106" s="1"/>
  <c r="AA32" i="106"/>
  <c r="AB32" i="106"/>
  <c r="AC32" i="106" s="1"/>
  <c r="AD32" i="106"/>
  <c r="AE32" i="106"/>
  <c r="AF32" i="106"/>
  <c r="AG32" i="106"/>
  <c r="AH32" i="106"/>
  <c r="AJ32" i="106"/>
  <c r="AK32" i="106"/>
  <c r="AL32" i="106"/>
  <c r="B33" i="106"/>
  <c r="C33" i="106"/>
  <c r="G33" i="106"/>
  <c r="J33" i="106"/>
  <c r="M33" i="106"/>
  <c r="P33" i="106"/>
  <c r="S33" i="106"/>
  <c r="U33" i="106"/>
  <c r="X33" i="106"/>
  <c r="Y33" i="106"/>
  <c r="Z33" i="106"/>
  <c r="AA33" i="106"/>
  <c r="AB33" i="106"/>
  <c r="AD33" i="106"/>
  <c r="AE33" i="106"/>
  <c r="AF33" i="106" s="1"/>
  <c r="AG33" i="106"/>
  <c r="AH33" i="106"/>
  <c r="AI33" i="106" s="1"/>
  <c r="AJ33" i="106"/>
  <c r="AK33" i="106"/>
  <c r="AL33" i="106" s="1"/>
  <c r="B34" i="106"/>
  <c r="C34" i="106"/>
  <c r="D34" i="106" s="1"/>
  <c r="G34" i="106"/>
  <c r="J34" i="106"/>
  <c r="M34" i="106"/>
  <c r="P34" i="106"/>
  <c r="S34" i="106"/>
  <c r="U34" i="106"/>
  <c r="V34" i="106"/>
  <c r="W34" i="106" s="1"/>
  <c r="X34" i="106"/>
  <c r="Y34" i="106"/>
  <c r="Z34" i="106" s="1"/>
  <c r="AA34" i="106"/>
  <c r="AB34" i="106"/>
  <c r="AC34" i="106" s="1"/>
  <c r="AD34" i="106"/>
  <c r="AE34" i="106"/>
  <c r="AF34" i="106"/>
  <c r="AG34" i="106"/>
  <c r="AH34" i="106"/>
  <c r="AJ34" i="106"/>
  <c r="AK34" i="106"/>
  <c r="AL34" i="106"/>
  <c r="B35" i="106"/>
  <c r="C35" i="106"/>
  <c r="G35" i="106"/>
  <c r="J35" i="106"/>
  <c r="M35" i="106"/>
  <c r="P35" i="106"/>
  <c r="S35" i="106"/>
  <c r="U35" i="106"/>
  <c r="X35" i="106"/>
  <c r="Y35" i="106"/>
  <c r="Z35" i="106"/>
  <c r="AA35" i="106"/>
  <c r="AB35" i="106"/>
  <c r="AD35" i="106"/>
  <c r="AE35" i="106"/>
  <c r="AF35" i="106" s="1"/>
  <c r="AG35" i="106"/>
  <c r="AH35" i="106"/>
  <c r="AI35" i="106" s="1"/>
  <c r="AJ35" i="106"/>
  <c r="AK35" i="106"/>
  <c r="AL35" i="106" s="1"/>
  <c r="B36" i="106"/>
  <c r="C36" i="106"/>
  <c r="D36" i="106" s="1"/>
  <c r="G36" i="106"/>
  <c r="J36" i="106"/>
  <c r="M36" i="106"/>
  <c r="P36" i="106"/>
  <c r="S36" i="106"/>
  <c r="U36" i="106"/>
  <c r="V36" i="106"/>
  <c r="W36" i="106" s="1"/>
  <c r="X36" i="106"/>
  <c r="Y36" i="106"/>
  <c r="Z36" i="106" s="1"/>
  <c r="AA36" i="106"/>
  <c r="AB36" i="106"/>
  <c r="AC36" i="106" s="1"/>
  <c r="AD36" i="106"/>
  <c r="AE36" i="106"/>
  <c r="AF36" i="106"/>
  <c r="AG36" i="106"/>
  <c r="AH36" i="106"/>
  <c r="AJ36" i="106"/>
  <c r="AK36" i="106"/>
  <c r="AL36" i="106"/>
  <c r="B37" i="106"/>
  <c r="C37" i="106"/>
  <c r="G37" i="106"/>
  <c r="J37" i="106"/>
  <c r="M37" i="106"/>
  <c r="P37" i="106"/>
  <c r="S37" i="106"/>
  <c r="U37" i="106"/>
  <c r="X37" i="106"/>
  <c r="Y37" i="106"/>
  <c r="Z37" i="106"/>
  <c r="AA37" i="106"/>
  <c r="AB37" i="106"/>
  <c r="AD37" i="106"/>
  <c r="AE37" i="106"/>
  <c r="AF37" i="106" s="1"/>
  <c r="AG37" i="106"/>
  <c r="AH37" i="106"/>
  <c r="AI37" i="106" s="1"/>
  <c r="AJ37" i="106"/>
  <c r="AK37" i="106"/>
  <c r="AL37" i="106" s="1"/>
  <c r="B38" i="106"/>
  <c r="C38" i="106"/>
  <c r="D38" i="106" s="1"/>
  <c r="G38" i="106"/>
  <c r="J38" i="106"/>
  <c r="M38" i="106"/>
  <c r="P38" i="106"/>
  <c r="S38" i="106"/>
  <c r="U38" i="106"/>
  <c r="V38" i="106"/>
  <c r="W38" i="106" s="1"/>
  <c r="X38" i="106"/>
  <c r="Y38" i="106"/>
  <c r="Z38" i="106" s="1"/>
  <c r="AA38" i="106"/>
  <c r="AB38" i="106"/>
  <c r="AC38" i="106" s="1"/>
  <c r="AD38" i="106"/>
  <c r="AE38" i="106"/>
  <c r="AF38" i="106"/>
  <c r="AG38" i="106"/>
  <c r="AH38" i="106"/>
  <c r="AJ38" i="106"/>
  <c r="AK38" i="106"/>
  <c r="AL38" i="106"/>
  <c r="B39" i="106"/>
  <c r="C39" i="106"/>
  <c r="G39" i="106"/>
  <c r="J39" i="106"/>
  <c r="M39" i="106"/>
  <c r="P39" i="106"/>
  <c r="S39" i="106"/>
  <c r="U39" i="106"/>
  <c r="X39" i="106"/>
  <c r="Y39" i="106"/>
  <c r="Z39" i="106"/>
  <c r="AA39" i="106"/>
  <c r="AB39" i="106"/>
  <c r="AD39" i="106"/>
  <c r="AE39" i="106"/>
  <c r="AF39" i="106" s="1"/>
  <c r="AG39" i="106"/>
  <c r="AH39" i="106"/>
  <c r="AI39" i="106" s="1"/>
  <c r="AJ39" i="106"/>
  <c r="AK39" i="106"/>
  <c r="AL39" i="106" s="1"/>
  <c r="B40" i="106"/>
  <c r="C40" i="106"/>
  <c r="D40" i="106" s="1"/>
  <c r="G40" i="106"/>
  <c r="J40" i="106"/>
  <c r="M40" i="106"/>
  <c r="P40" i="106"/>
  <c r="S40" i="106"/>
  <c r="U40" i="106"/>
  <c r="V40" i="106"/>
  <c r="W40" i="106" s="1"/>
  <c r="X40" i="106"/>
  <c r="Y40" i="106"/>
  <c r="Z40" i="106" s="1"/>
  <c r="AA40" i="106"/>
  <c r="AB40" i="106"/>
  <c r="AC40" i="106" s="1"/>
  <c r="AD40" i="106"/>
  <c r="AE40" i="106"/>
  <c r="AF40" i="106"/>
  <c r="AG40" i="106"/>
  <c r="AH40" i="106"/>
  <c r="AJ40" i="106"/>
  <c r="AK40" i="106"/>
  <c r="AL40" i="106"/>
  <c r="E41" i="106"/>
  <c r="F41" i="106"/>
  <c r="G41" i="106" s="1"/>
  <c r="H41" i="106"/>
  <c r="I41" i="106"/>
  <c r="J41" i="106" s="1"/>
  <c r="K41" i="106"/>
  <c r="K65" i="106" s="1"/>
  <c r="L41" i="106"/>
  <c r="M41" i="106" s="1"/>
  <c r="N41" i="106"/>
  <c r="O41" i="106"/>
  <c r="P41" i="106" s="1"/>
  <c r="Q41" i="106"/>
  <c r="R41" i="106"/>
  <c r="S41" i="106"/>
  <c r="X41" i="106"/>
  <c r="Y41" i="106"/>
  <c r="Z41" i="106"/>
  <c r="AA41" i="106"/>
  <c r="AB41" i="106"/>
  <c r="AD41" i="106"/>
  <c r="AE41" i="106"/>
  <c r="AF41" i="106" s="1"/>
  <c r="AH41" i="106"/>
  <c r="AJ41" i="106"/>
  <c r="AK41" i="106"/>
  <c r="AL41" i="106" s="1"/>
  <c r="B51" i="106"/>
  <c r="C51" i="106"/>
  <c r="D51" i="106" s="1"/>
  <c r="E51" i="106"/>
  <c r="F51" i="106"/>
  <c r="G51" i="106"/>
  <c r="H51" i="106"/>
  <c r="I51" i="106"/>
  <c r="K51" i="106"/>
  <c r="L51" i="106"/>
  <c r="M51" i="106"/>
  <c r="N51" i="106"/>
  <c r="O51" i="106"/>
  <c r="Q51" i="106"/>
  <c r="R51" i="106"/>
  <c r="S51" i="106" s="1"/>
  <c r="C52" i="106"/>
  <c r="E52" i="106"/>
  <c r="F52" i="106"/>
  <c r="G52" i="106" s="1"/>
  <c r="H52" i="106"/>
  <c r="I52" i="106"/>
  <c r="J52" i="106" s="1"/>
  <c r="K52" i="106"/>
  <c r="L52" i="106"/>
  <c r="M52" i="106"/>
  <c r="N52" i="106"/>
  <c r="O52" i="106"/>
  <c r="Q52" i="106"/>
  <c r="R52" i="106"/>
  <c r="S52" i="106"/>
  <c r="B53" i="106"/>
  <c r="C53" i="106"/>
  <c r="E53" i="106"/>
  <c r="F53" i="106"/>
  <c r="G53" i="106" s="1"/>
  <c r="H53" i="106"/>
  <c r="I53" i="106"/>
  <c r="J53" i="106" s="1"/>
  <c r="K53" i="106"/>
  <c r="L53" i="106"/>
  <c r="M53" i="106" s="1"/>
  <c r="N53" i="106"/>
  <c r="O53" i="106"/>
  <c r="P53" i="106" s="1"/>
  <c r="Q53" i="106"/>
  <c r="R53" i="106"/>
  <c r="S53" i="106"/>
  <c r="B54" i="106"/>
  <c r="C54" i="106"/>
  <c r="E54" i="106"/>
  <c r="F54" i="106"/>
  <c r="G54" i="106"/>
  <c r="H54" i="106"/>
  <c r="I54" i="106"/>
  <c r="K54" i="106"/>
  <c r="L54" i="106"/>
  <c r="M54" i="106" s="1"/>
  <c r="N54" i="106"/>
  <c r="O54" i="106"/>
  <c r="P54" i="106" s="1"/>
  <c r="Q54" i="106"/>
  <c r="R54" i="106"/>
  <c r="S54" i="106" s="1"/>
  <c r="B55" i="106"/>
  <c r="C55" i="106"/>
  <c r="D55" i="106" s="1"/>
  <c r="E55" i="106"/>
  <c r="F55" i="106"/>
  <c r="G55" i="106"/>
  <c r="H55" i="106"/>
  <c r="I55" i="106"/>
  <c r="K55" i="106"/>
  <c r="L55" i="106"/>
  <c r="M55" i="106"/>
  <c r="N55" i="106"/>
  <c r="O55" i="106"/>
  <c r="Q55" i="106"/>
  <c r="R55" i="106"/>
  <c r="S55" i="106" s="1"/>
  <c r="B56" i="106"/>
  <c r="C56" i="106"/>
  <c r="D56" i="106" s="1"/>
  <c r="E56" i="106"/>
  <c r="F56" i="106"/>
  <c r="G56" i="106" s="1"/>
  <c r="H56" i="106"/>
  <c r="I56" i="106"/>
  <c r="J56" i="106" s="1"/>
  <c r="K56" i="106"/>
  <c r="L56" i="106"/>
  <c r="M56" i="106"/>
  <c r="N56" i="106"/>
  <c r="O56" i="106"/>
  <c r="Q56" i="106"/>
  <c r="R56" i="106"/>
  <c r="S56" i="106"/>
  <c r="B57" i="106"/>
  <c r="C57" i="106"/>
  <c r="E57" i="106"/>
  <c r="F57" i="106"/>
  <c r="G57" i="106" s="1"/>
  <c r="H57" i="106"/>
  <c r="I57" i="106"/>
  <c r="J57" i="106" s="1"/>
  <c r="K57" i="106"/>
  <c r="L57" i="106"/>
  <c r="M57" i="106" s="1"/>
  <c r="N57" i="106"/>
  <c r="O57" i="106"/>
  <c r="P57" i="106" s="1"/>
  <c r="Q57" i="106"/>
  <c r="R57" i="106"/>
  <c r="S57" i="106"/>
  <c r="B58" i="106"/>
  <c r="E58" i="106"/>
  <c r="F58" i="106"/>
  <c r="G58" i="106"/>
  <c r="H58" i="106"/>
  <c r="I58" i="106"/>
  <c r="K58" i="106"/>
  <c r="L58" i="106"/>
  <c r="M58" i="106" s="1"/>
  <c r="N58" i="106"/>
  <c r="O58" i="106"/>
  <c r="P58" i="106" s="1"/>
  <c r="Q58" i="106"/>
  <c r="R58" i="106"/>
  <c r="S58" i="106" s="1"/>
  <c r="B59" i="106"/>
  <c r="C59" i="106"/>
  <c r="D59" i="106" s="1"/>
  <c r="E59" i="106"/>
  <c r="F59" i="106"/>
  <c r="G59" i="106" s="1"/>
  <c r="H59" i="106"/>
  <c r="I59" i="106"/>
  <c r="J59" i="106" s="1"/>
  <c r="K59" i="106"/>
  <c r="L59" i="106"/>
  <c r="M59" i="106" s="1"/>
  <c r="N59" i="106"/>
  <c r="O59" i="106"/>
  <c r="P59" i="106"/>
  <c r="Q59" i="106"/>
  <c r="R59" i="106"/>
  <c r="B60" i="106"/>
  <c r="C60" i="106"/>
  <c r="D60" i="106"/>
  <c r="E60" i="106"/>
  <c r="F60" i="106"/>
  <c r="H60" i="106"/>
  <c r="I60" i="106"/>
  <c r="J60" i="106" s="1"/>
  <c r="K60" i="106"/>
  <c r="L60" i="106"/>
  <c r="M60" i="106" s="1"/>
  <c r="N60" i="106"/>
  <c r="O60" i="106"/>
  <c r="P60" i="106" s="1"/>
  <c r="Q60" i="106"/>
  <c r="R60" i="106"/>
  <c r="S60" i="106" s="1"/>
  <c r="B61" i="106"/>
  <c r="C61" i="106"/>
  <c r="D61" i="106"/>
  <c r="E61" i="106"/>
  <c r="F61" i="106"/>
  <c r="H61" i="106"/>
  <c r="I61" i="106"/>
  <c r="J61" i="106"/>
  <c r="K61" i="106"/>
  <c r="L61" i="106"/>
  <c r="M61" i="106" s="1"/>
  <c r="N61" i="106"/>
  <c r="O61" i="106"/>
  <c r="P61" i="106" s="1"/>
  <c r="Q61" i="106"/>
  <c r="R61" i="106"/>
  <c r="S61" i="106" s="1"/>
  <c r="B62" i="106"/>
  <c r="E62" i="106"/>
  <c r="F62" i="106"/>
  <c r="G62" i="106" s="1"/>
  <c r="H62" i="106"/>
  <c r="I62" i="106"/>
  <c r="J62" i="106"/>
  <c r="K62" i="106"/>
  <c r="L62" i="106"/>
  <c r="N62" i="106"/>
  <c r="O62" i="106"/>
  <c r="P62" i="106"/>
  <c r="Q62" i="106"/>
  <c r="R62" i="106"/>
  <c r="S62" i="106" s="1"/>
  <c r="B63" i="106"/>
  <c r="C63" i="106"/>
  <c r="D63" i="106" s="1"/>
  <c r="E63" i="106"/>
  <c r="F63" i="106"/>
  <c r="G63" i="106" s="1"/>
  <c r="H63" i="106"/>
  <c r="J63" i="106" s="1"/>
  <c r="I63" i="106"/>
  <c r="K63" i="106"/>
  <c r="L63" i="106"/>
  <c r="M63" i="106" s="1"/>
  <c r="N63" i="106"/>
  <c r="O63" i="106"/>
  <c r="P63" i="106"/>
  <c r="Q63" i="106"/>
  <c r="R63" i="106"/>
  <c r="B64" i="106"/>
  <c r="C64" i="106"/>
  <c r="D64" i="106"/>
  <c r="E64" i="106"/>
  <c r="F64" i="106"/>
  <c r="G64" i="106" s="1"/>
  <c r="H64" i="106"/>
  <c r="I64" i="106"/>
  <c r="J64" i="106" s="1"/>
  <c r="K64" i="106"/>
  <c r="L64" i="106"/>
  <c r="M64" i="106" s="1"/>
  <c r="N64" i="106"/>
  <c r="P64" i="106" s="1"/>
  <c r="O64" i="106"/>
  <c r="Q64" i="106"/>
  <c r="R64" i="106"/>
  <c r="S64" i="106" s="1"/>
  <c r="E65" i="106"/>
  <c r="H65" i="106"/>
  <c r="I65" i="106"/>
  <c r="J65" i="106"/>
  <c r="L65" i="106"/>
  <c r="N65" i="106"/>
  <c r="O65" i="106"/>
  <c r="P65" i="106" s="1"/>
  <c r="Q65" i="106"/>
  <c r="R65" i="106"/>
  <c r="S65" i="106" s="1"/>
  <c r="E71" i="106"/>
  <c r="F71" i="106"/>
  <c r="H71" i="106"/>
  <c r="I71" i="106"/>
  <c r="J71" i="106"/>
  <c r="K71" i="106"/>
  <c r="L71" i="106"/>
  <c r="M71" i="106" s="1"/>
  <c r="N71" i="106"/>
  <c r="O71" i="106"/>
  <c r="P71" i="106" s="1"/>
  <c r="Q71" i="106"/>
  <c r="R71" i="106"/>
  <c r="S71" i="106" s="1"/>
  <c r="E72" i="106"/>
  <c r="F72" i="106"/>
  <c r="H72" i="106"/>
  <c r="I72" i="106"/>
  <c r="J72" i="106"/>
  <c r="K72" i="106"/>
  <c r="L72" i="106"/>
  <c r="M72" i="106" s="1"/>
  <c r="N72" i="106"/>
  <c r="O72" i="106"/>
  <c r="P72" i="106" s="1"/>
  <c r="Q72" i="106"/>
  <c r="R72" i="106"/>
  <c r="S72" i="106" s="1"/>
  <c r="E73" i="106"/>
  <c r="F73" i="106"/>
  <c r="H73" i="106"/>
  <c r="I73" i="106"/>
  <c r="J73" i="106"/>
  <c r="K73" i="106"/>
  <c r="L73" i="106"/>
  <c r="M73" i="106" s="1"/>
  <c r="N73" i="106"/>
  <c r="O73" i="106"/>
  <c r="P73" i="106" s="1"/>
  <c r="Q73" i="106"/>
  <c r="R73" i="106"/>
  <c r="S73" i="106" s="1"/>
  <c r="E74" i="106"/>
  <c r="F74" i="106"/>
  <c r="H74" i="106"/>
  <c r="I74" i="106"/>
  <c r="J74" i="106"/>
  <c r="K74" i="106"/>
  <c r="L74" i="106"/>
  <c r="M74" i="106" s="1"/>
  <c r="N74" i="106"/>
  <c r="O74" i="106"/>
  <c r="P74" i="106" s="1"/>
  <c r="Q74" i="106"/>
  <c r="R74" i="106"/>
  <c r="S74" i="106" s="1"/>
  <c r="E75" i="106"/>
  <c r="F75" i="106"/>
  <c r="H75" i="106"/>
  <c r="I75" i="106"/>
  <c r="J75" i="106"/>
  <c r="K75" i="106"/>
  <c r="L75" i="106"/>
  <c r="M75" i="106" s="1"/>
  <c r="N75" i="106"/>
  <c r="O75" i="106"/>
  <c r="P75" i="106" s="1"/>
  <c r="Q75" i="106"/>
  <c r="R75" i="106"/>
  <c r="S75" i="106" s="1"/>
  <c r="E76" i="106"/>
  <c r="F76" i="106"/>
  <c r="H76" i="106"/>
  <c r="I76" i="106"/>
  <c r="J76" i="106"/>
  <c r="K76" i="106"/>
  <c r="L76" i="106"/>
  <c r="M76" i="106" s="1"/>
  <c r="N76" i="106"/>
  <c r="O76" i="106"/>
  <c r="P76" i="106" s="1"/>
  <c r="Q76" i="106"/>
  <c r="R76" i="106"/>
  <c r="S76" i="106" s="1"/>
  <c r="E77" i="106"/>
  <c r="F77" i="106"/>
  <c r="H77" i="106"/>
  <c r="I77" i="106"/>
  <c r="J77" i="106"/>
  <c r="K77" i="106"/>
  <c r="L77" i="106"/>
  <c r="M77" i="106" s="1"/>
  <c r="N77" i="106"/>
  <c r="O77" i="106"/>
  <c r="P77" i="106" s="1"/>
  <c r="Q77" i="106"/>
  <c r="R77" i="106"/>
  <c r="S77" i="106" s="1"/>
  <c r="E78" i="106"/>
  <c r="F78" i="106"/>
  <c r="H78" i="106"/>
  <c r="I78" i="106"/>
  <c r="J78" i="106"/>
  <c r="K78" i="106"/>
  <c r="L78" i="106"/>
  <c r="M78" i="106" s="1"/>
  <c r="N78" i="106"/>
  <c r="O78" i="106"/>
  <c r="P78" i="106" s="1"/>
  <c r="Q78" i="106"/>
  <c r="R78" i="106"/>
  <c r="S78" i="106" s="1"/>
  <c r="E79" i="106"/>
  <c r="F79" i="106"/>
  <c r="H79" i="106"/>
  <c r="I79" i="106"/>
  <c r="J79" i="106"/>
  <c r="K79" i="106"/>
  <c r="L79" i="106"/>
  <c r="M79" i="106" s="1"/>
  <c r="N79" i="106"/>
  <c r="O79" i="106"/>
  <c r="P79" i="106" s="1"/>
  <c r="Q79" i="106"/>
  <c r="R79" i="106"/>
  <c r="S79" i="106" s="1"/>
  <c r="E80" i="106"/>
  <c r="F80" i="106"/>
  <c r="H80" i="106"/>
  <c r="I80" i="106"/>
  <c r="J80" i="106"/>
  <c r="K80" i="106"/>
  <c r="L80" i="106"/>
  <c r="M80" i="106" s="1"/>
  <c r="N80" i="106"/>
  <c r="O80" i="106"/>
  <c r="P80" i="106" s="1"/>
  <c r="Q80" i="106"/>
  <c r="R80" i="106"/>
  <c r="S80" i="106" s="1"/>
  <c r="E81" i="106"/>
  <c r="F81" i="106"/>
  <c r="H81" i="106"/>
  <c r="I81" i="106"/>
  <c r="J81" i="106"/>
  <c r="K81" i="106"/>
  <c r="L81" i="106"/>
  <c r="M81" i="106" s="1"/>
  <c r="N81" i="106"/>
  <c r="O81" i="106"/>
  <c r="P81" i="106" s="1"/>
  <c r="Q81" i="106"/>
  <c r="R81" i="106"/>
  <c r="S81" i="106" s="1"/>
  <c r="E82" i="106"/>
  <c r="F82" i="106"/>
  <c r="H82" i="106"/>
  <c r="I82" i="106"/>
  <c r="J82" i="106"/>
  <c r="K82" i="106"/>
  <c r="L82" i="106"/>
  <c r="M82" i="106" s="1"/>
  <c r="N82" i="106"/>
  <c r="O82" i="106"/>
  <c r="P82" i="106" s="1"/>
  <c r="Q82" i="106"/>
  <c r="R82" i="106"/>
  <c r="S82" i="106" s="1"/>
  <c r="E83" i="106"/>
  <c r="F83" i="106"/>
  <c r="H83" i="106"/>
  <c r="I83" i="106"/>
  <c r="J83" i="106"/>
  <c r="K83" i="106"/>
  <c r="L83" i="106"/>
  <c r="M83" i="106" s="1"/>
  <c r="N83" i="106"/>
  <c r="O83" i="106"/>
  <c r="P83" i="106" s="1"/>
  <c r="Q83" i="106"/>
  <c r="R83" i="106"/>
  <c r="S83" i="106" s="1"/>
  <c r="E84" i="106"/>
  <c r="F84" i="106"/>
  <c r="H84" i="106"/>
  <c r="I84" i="106"/>
  <c r="J84" i="106"/>
  <c r="K84" i="106"/>
  <c r="L84" i="106"/>
  <c r="M84" i="106" s="1"/>
  <c r="N84" i="106"/>
  <c r="O84" i="106"/>
  <c r="P84" i="106" s="1"/>
  <c r="Q84" i="106"/>
  <c r="R84" i="106"/>
  <c r="S84" i="106" s="1"/>
  <c r="E85" i="106"/>
  <c r="F85" i="106"/>
  <c r="H85" i="106"/>
  <c r="I85" i="106"/>
  <c r="J85" i="106"/>
  <c r="K85" i="106"/>
  <c r="L85" i="106"/>
  <c r="M85" i="106" s="1"/>
  <c r="N85" i="106"/>
  <c r="O85" i="106"/>
  <c r="P85" i="106" s="1"/>
  <c r="Q85" i="106"/>
  <c r="R85" i="106"/>
  <c r="S85" i="106" s="1"/>
  <c r="B16" i="105"/>
  <c r="C16" i="105"/>
  <c r="D16" i="105"/>
  <c r="E16" i="105"/>
  <c r="F16" i="105"/>
  <c r="G16" i="105"/>
  <c r="H16" i="105"/>
  <c r="I16" i="105"/>
  <c r="B22" i="104"/>
  <c r="C22" i="104"/>
  <c r="D22" i="104"/>
  <c r="E22" i="104"/>
  <c r="F22" i="104"/>
  <c r="G22" i="104"/>
  <c r="H22" i="104"/>
  <c r="I22" i="104"/>
  <c r="J22" i="104"/>
  <c r="K22" i="104"/>
  <c r="M22" i="104"/>
  <c r="N22" i="104"/>
  <c r="O22" i="104"/>
  <c r="P22" i="104"/>
  <c r="Q22" i="104"/>
  <c r="P7" i="103"/>
  <c r="Q7" i="103"/>
  <c r="P8" i="103"/>
  <c r="Q8" i="103"/>
  <c r="P9" i="103"/>
  <c r="Q9" i="103"/>
  <c r="P10" i="103"/>
  <c r="Q10" i="103"/>
  <c r="P11" i="103"/>
  <c r="Q11" i="103"/>
  <c r="P12" i="103"/>
  <c r="Q12" i="103"/>
  <c r="P13" i="103"/>
  <c r="Q13" i="103"/>
  <c r="P14" i="103"/>
  <c r="Q14" i="103"/>
  <c r="P15" i="103"/>
  <c r="Q15" i="103"/>
  <c r="P16" i="103"/>
  <c r="Q16" i="103"/>
  <c r="P17" i="103"/>
  <c r="Q17" i="103"/>
  <c r="P18" i="103"/>
  <c r="Q18" i="103"/>
  <c r="P19" i="103"/>
  <c r="Q19" i="103"/>
  <c r="P20" i="103"/>
  <c r="Q20" i="103"/>
  <c r="C21" i="103"/>
  <c r="D21" i="103"/>
  <c r="E21" i="103"/>
  <c r="F21" i="103"/>
  <c r="G21" i="103"/>
  <c r="H21" i="103"/>
  <c r="I21" i="103"/>
  <c r="J21" i="103"/>
  <c r="K21" i="103"/>
  <c r="L21" i="103"/>
  <c r="M21" i="103"/>
  <c r="N21" i="103"/>
  <c r="O21" i="103"/>
  <c r="P21" i="103"/>
  <c r="D6" i="20"/>
  <c r="E6" i="20"/>
  <c r="H6" i="20"/>
  <c r="I6" i="20"/>
  <c r="D7" i="20"/>
  <c r="E7" i="20"/>
  <c r="H7" i="20"/>
  <c r="I7" i="20"/>
  <c r="D8" i="20"/>
  <c r="E8" i="20"/>
  <c r="H8" i="20"/>
  <c r="I8" i="20"/>
  <c r="D9" i="20"/>
  <c r="E9" i="20"/>
  <c r="H9" i="20"/>
  <c r="I9" i="20"/>
  <c r="D10" i="20"/>
  <c r="E10" i="20"/>
  <c r="H10" i="20"/>
  <c r="I10" i="20"/>
  <c r="D11" i="20"/>
  <c r="E11" i="20"/>
  <c r="H11" i="20"/>
  <c r="I11" i="20"/>
  <c r="D12" i="20"/>
  <c r="E12" i="20"/>
  <c r="D13" i="20"/>
  <c r="E13" i="20"/>
  <c r="H13" i="20"/>
  <c r="I13" i="20"/>
  <c r="D14" i="20"/>
  <c r="E14" i="20"/>
  <c r="H14" i="20"/>
  <c r="I14" i="20"/>
  <c r="D15" i="20"/>
  <c r="E15" i="20"/>
  <c r="H15" i="20"/>
  <c r="I15" i="20"/>
  <c r="D16" i="20"/>
  <c r="E16" i="20"/>
  <c r="H16" i="20"/>
  <c r="I16" i="20"/>
  <c r="D17" i="20"/>
  <c r="E17" i="20"/>
  <c r="H17" i="20"/>
  <c r="I17" i="20"/>
  <c r="D18" i="20"/>
  <c r="E18" i="20"/>
  <c r="H18" i="20"/>
  <c r="I18" i="20"/>
  <c r="D19" i="20"/>
  <c r="E19" i="20"/>
  <c r="H19" i="20"/>
  <c r="I19" i="20"/>
  <c r="D20" i="20"/>
  <c r="E20" i="20"/>
  <c r="H20" i="20"/>
  <c r="I20" i="20"/>
  <c r="D21" i="20"/>
  <c r="E21" i="20"/>
  <c r="H21" i="20"/>
  <c r="I21" i="20"/>
  <c r="D22" i="20"/>
  <c r="E22" i="20"/>
  <c r="H22" i="20"/>
  <c r="I22" i="20"/>
  <c r="D23" i="20"/>
  <c r="E23" i="20"/>
  <c r="H23" i="20"/>
  <c r="I23" i="20"/>
  <c r="D24" i="20"/>
  <c r="E24" i="20"/>
  <c r="H24" i="20"/>
  <c r="I24" i="20"/>
  <c r="D25" i="20"/>
  <c r="E25" i="20"/>
  <c r="H25" i="20"/>
  <c r="I25" i="20"/>
  <c r="D26" i="20"/>
  <c r="E26" i="20"/>
  <c r="H26" i="20"/>
  <c r="I26" i="20"/>
  <c r="D27" i="20"/>
  <c r="E27" i="20"/>
  <c r="H27" i="20"/>
  <c r="I27" i="20"/>
  <c r="D28" i="20"/>
  <c r="E28" i="20"/>
  <c r="H28" i="20"/>
  <c r="I28" i="20"/>
  <c r="D29" i="20"/>
  <c r="E29" i="20"/>
  <c r="H29" i="20"/>
  <c r="I29" i="20"/>
  <c r="D30" i="20"/>
  <c r="E30" i="20"/>
  <c r="H30" i="20"/>
  <c r="I30" i="20"/>
  <c r="D31" i="20"/>
  <c r="E31" i="20"/>
  <c r="H31" i="20"/>
  <c r="I31" i="20"/>
  <c r="D32" i="20"/>
  <c r="E32" i="20"/>
  <c r="H32" i="20"/>
  <c r="I32" i="20"/>
  <c r="D33" i="20"/>
  <c r="E33" i="20"/>
  <c r="H33" i="20"/>
  <c r="I33" i="20"/>
  <c r="D34" i="20"/>
  <c r="E34" i="20"/>
  <c r="H34" i="20"/>
  <c r="I34" i="20"/>
  <c r="D35" i="20"/>
  <c r="E35" i="20"/>
  <c r="H35" i="20"/>
  <c r="I35" i="20"/>
  <c r="D36" i="20"/>
  <c r="E36" i="20"/>
  <c r="H36" i="20"/>
  <c r="I36" i="20"/>
  <c r="D37" i="20"/>
  <c r="E37" i="20"/>
  <c r="H37" i="20"/>
  <c r="I37" i="20"/>
  <c r="D38" i="20"/>
  <c r="E38" i="20"/>
  <c r="H38" i="20"/>
  <c r="I38" i="20"/>
  <c r="D39" i="20"/>
  <c r="E39" i="20"/>
  <c r="H39" i="20"/>
  <c r="I39" i="20"/>
  <c r="D40" i="20"/>
  <c r="E40" i="20"/>
  <c r="H40" i="20"/>
  <c r="I40" i="20"/>
  <c r="D41" i="20"/>
  <c r="E41" i="20"/>
  <c r="H41" i="20"/>
  <c r="I41" i="20"/>
  <c r="D42" i="20"/>
  <c r="E42" i="20"/>
  <c r="H42" i="20"/>
  <c r="I42" i="20"/>
  <c r="D43" i="20"/>
  <c r="E43" i="20"/>
  <c r="H43" i="20"/>
  <c r="I43" i="20"/>
  <c r="D44" i="20"/>
  <c r="E44" i="20"/>
  <c r="H44" i="20"/>
  <c r="I44" i="20"/>
  <c r="D45" i="20"/>
  <c r="E45" i="20"/>
  <c r="H45" i="20"/>
  <c r="I45" i="20"/>
  <c r="D46" i="20"/>
  <c r="E46" i="20"/>
  <c r="H46" i="20"/>
  <c r="I46" i="20"/>
  <c r="D47" i="20"/>
  <c r="E47" i="20"/>
  <c r="H47" i="20"/>
  <c r="I47" i="20"/>
  <c r="H48" i="20"/>
  <c r="I48" i="20"/>
  <c r="D49" i="20"/>
  <c r="E49" i="20"/>
  <c r="H49" i="20"/>
  <c r="I49" i="20"/>
  <c r="D50" i="20"/>
  <c r="E50" i="20"/>
  <c r="H50" i="20"/>
  <c r="I50" i="20"/>
  <c r="D51" i="20"/>
  <c r="E51" i="20"/>
  <c r="H51" i="20"/>
  <c r="I51" i="20"/>
  <c r="D52" i="20"/>
  <c r="E52" i="20"/>
  <c r="H52" i="20"/>
  <c r="I52" i="20"/>
  <c r="D53" i="20"/>
  <c r="E53" i="20"/>
  <c r="H53" i="20"/>
  <c r="I53" i="20"/>
  <c r="D56" i="20"/>
  <c r="E56" i="20"/>
  <c r="H56" i="20"/>
  <c r="I56" i="20"/>
  <c r="D57" i="20"/>
  <c r="E57" i="20"/>
  <c r="H57" i="20"/>
  <c r="I57" i="20"/>
  <c r="D58" i="20"/>
  <c r="E58" i="20"/>
  <c r="H58" i="20"/>
  <c r="I58" i="20"/>
  <c r="D59" i="20"/>
  <c r="E59" i="20"/>
  <c r="H59" i="20"/>
  <c r="I59" i="20"/>
  <c r="D60" i="20"/>
  <c r="E60" i="20"/>
  <c r="H60" i="20"/>
  <c r="I60" i="20"/>
  <c r="D61" i="20"/>
  <c r="E61" i="20"/>
  <c r="H61" i="20"/>
  <c r="I61" i="20"/>
  <c r="D62" i="20"/>
  <c r="E62" i="20"/>
  <c r="H62" i="20"/>
  <c r="I62" i="20"/>
  <c r="D63" i="20"/>
  <c r="E63" i="20"/>
  <c r="H63" i="20"/>
  <c r="I63" i="20"/>
  <c r="D64" i="20"/>
  <c r="E64" i="20"/>
  <c r="H64" i="20"/>
  <c r="I64" i="20"/>
  <c r="D65" i="20"/>
  <c r="E65" i="20"/>
  <c r="H65" i="20"/>
  <c r="I65" i="20"/>
  <c r="D66" i="20"/>
  <c r="E66" i="20"/>
  <c r="D67" i="20"/>
  <c r="E67" i="20"/>
  <c r="D68" i="20"/>
  <c r="E68" i="20"/>
  <c r="D69" i="20"/>
  <c r="E69" i="20"/>
  <c r="D70" i="20"/>
  <c r="E70" i="20"/>
  <c r="H70" i="20"/>
  <c r="I70" i="20"/>
  <c r="D71" i="20"/>
  <c r="E71" i="20"/>
  <c r="H71" i="20"/>
  <c r="I71" i="20"/>
  <c r="D72" i="20"/>
  <c r="E72" i="20"/>
  <c r="H72" i="20"/>
  <c r="I72" i="20"/>
  <c r="D73" i="20"/>
  <c r="E73" i="20"/>
  <c r="H73" i="20"/>
  <c r="I73" i="20"/>
  <c r="D74" i="20"/>
  <c r="E74" i="20"/>
  <c r="H74" i="20"/>
  <c r="I74" i="20"/>
  <c r="D75" i="20"/>
  <c r="E75" i="20"/>
  <c r="H75" i="20"/>
  <c r="I75" i="20"/>
  <c r="D76" i="20"/>
  <c r="E76" i="20"/>
  <c r="H76" i="20"/>
  <c r="I76" i="20"/>
  <c r="D77" i="20"/>
  <c r="E77" i="20"/>
  <c r="H77" i="20"/>
  <c r="I77" i="20"/>
  <c r="D78" i="20"/>
  <c r="E78" i="20"/>
  <c r="H78" i="20"/>
  <c r="I78" i="20"/>
  <c r="H79" i="20"/>
  <c r="I79" i="20"/>
  <c r="D80" i="20"/>
  <c r="E80" i="20"/>
  <c r="H80" i="20"/>
  <c r="I80" i="20"/>
  <c r="D81" i="20"/>
  <c r="E81" i="20"/>
  <c r="H81" i="20"/>
  <c r="I81" i="20"/>
  <c r="D82" i="20"/>
  <c r="E82" i="20"/>
  <c r="H82" i="20"/>
  <c r="I82" i="20"/>
  <c r="D83" i="20"/>
  <c r="E83" i="20"/>
  <c r="H83" i="20"/>
  <c r="I83" i="20"/>
  <c r="D84" i="20"/>
  <c r="E84" i="20"/>
  <c r="H84" i="20"/>
  <c r="I84" i="20"/>
  <c r="D85" i="20"/>
  <c r="E85" i="20"/>
  <c r="H85" i="20"/>
  <c r="I85" i="20"/>
  <c r="D86" i="20"/>
  <c r="E86" i="20"/>
  <c r="H86" i="20"/>
  <c r="I86" i="20"/>
  <c r="D87" i="20"/>
  <c r="E87" i="20"/>
  <c r="H87" i="20"/>
  <c r="I87" i="20"/>
  <c r="D88" i="20"/>
  <c r="E88" i="20"/>
  <c r="H88" i="20"/>
  <c r="I88" i="20"/>
  <c r="D89" i="20"/>
  <c r="E89" i="20"/>
  <c r="H89" i="20"/>
  <c r="I89" i="20"/>
  <c r="D90" i="20"/>
  <c r="E90" i="20"/>
  <c r="H90" i="20"/>
  <c r="I90" i="20"/>
  <c r="D91" i="20"/>
  <c r="E91" i="20"/>
  <c r="H91" i="20"/>
  <c r="I91" i="20"/>
  <c r="D92" i="20"/>
  <c r="E92" i="20"/>
  <c r="H92" i="20"/>
  <c r="I92" i="20"/>
  <c r="D93" i="20"/>
  <c r="E93" i="20"/>
  <c r="H93" i="20"/>
  <c r="I93" i="20"/>
  <c r="D94" i="20"/>
  <c r="E94" i="20"/>
  <c r="D95" i="20"/>
  <c r="E95" i="20"/>
  <c r="D96" i="20"/>
  <c r="E96" i="20"/>
  <c r="I96" i="20"/>
  <c r="D97" i="20"/>
  <c r="E97" i="20"/>
  <c r="I97" i="20"/>
  <c r="D98" i="20"/>
  <c r="E98" i="20"/>
  <c r="H98" i="20"/>
  <c r="I98" i="20"/>
  <c r="D99" i="20"/>
  <c r="E99" i="20"/>
  <c r="H99" i="20"/>
  <c r="I99" i="20"/>
  <c r="D100" i="20"/>
  <c r="E100" i="20"/>
  <c r="H100" i="20"/>
  <c r="I100" i="20"/>
  <c r="D101" i="20"/>
  <c r="E101" i="20"/>
  <c r="H101" i="20"/>
  <c r="I101" i="20"/>
  <c r="D102" i="20"/>
  <c r="E102" i="20"/>
  <c r="H102" i="20"/>
  <c r="I102" i="20"/>
  <c r="D103" i="20"/>
  <c r="E103" i="20"/>
  <c r="H103" i="20"/>
  <c r="I103" i="20"/>
  <c r="E7" i="21"/>
  <c r="F7" i="21"/>
  <c r="I7" i="21"/>
  <c r="J7" i="21"/>
  <c r="K7" i="21"/>
  <c r="L7" i="21"/>
  <c r="E8" i="21"/>
  <c r="F8" i="21"/>
  <c r="I8" i="21"/>
  <c r="J8" i="21"/>
  <c r="K8" i="21"/>
  <c r="L8" i="21"/>
  <c r="E9" i="21"/>
  <c r="F9" i="21"/>
  <c r="I9" i="21"/>
  <c r="J9" i="21"/>
  <c r="K9" i="21"/>
  <c r="L9" i="21"/>
  <c r="E10" i="21"/>
  <c r="F10" i="21"/>
  <c r="I10" i="21"/>
  <c r="J10" i="21"/>
  <c r="K10" i="21"/>
  <c r="L10" i="21"/>
  <c r="E11" i="21"/>
  <c r="F11" i="21"/>
  <c r="I11" i="21"/>
  <c r="J11" i="21"/>
  <c r="K11" i="21"/>
  <c r="L11" i="21"/>
  <c r="E12" i="21"/>
  <c r="F12" i="21"/>
  <c r="I12" i="21"/>
  <c r="J12" i="21"/>
  <c r="K12" i="21"/>
  <c r="L12" i="21"/>
  <c r="E13" i="21"/>
  <c r="F13" i="21"/>
  <c r="I13" i="21"/>
  <c r="J13" i="21"/>
  <c r="K13" i="21"/>
  <c r="L13" i="21"/>
  <c r="E14" i="21"/>
  <c r="F14" i="21"/>
  <c r="I14" i="21"/>
  <c r="J14" i="21"/>
  <c r="K14" i="21"/>
  <c r="L14" i="21"/>
  <c r="E15" i="21"/>
  <c r="F15" i="21"/>
  <c r="I15" i="21"/>
  <c r="J15" i="21"/>
  <c r="K15" i="21"/>
  <c r="L15" i="21"/>
  <c r="E16" i="21"/>
  <c r="F16" i="21"/>
  <c r="I16" i="21"/>
  <c r="J16" i="21"/>
  <c r="K16" i="21"/>
  <c r="L16" i="21"/>
  <c r="E17" i="21"/>
  <c r="F17" i="21"/>
  <c r="I17" i="21"/>
  <c r="J17" i="21"/>
  <c r="K17" i="21"/>
  <c r="L17" i="21"/>
  <c r="E18" i="21"/>
  <c r="F18" i="21"/>
  <c r="I18" i="21"/>
  <c r="J18" i="21"/>
  <c r="K18" i="21"/>
  <c r="L18" i="21"/>
  <c r="E19" i="21"/>
  <c r="F19" i="21"/>
  <c r="I19" i="21"/>
  <c r="J19" i="21"/>
  <c r="K19" i="21"/>
  <c r="L19" i="21"/>
  <c r="E20" i="21"/>
  <c r="F20" i="21"/>
  <c r="I20" i="21"/>
  <c r="J20" i="21"/>
  <c r="K20" i="21"/>
  <c r="L20" i="21"/>
  <c r="C21" i="21"/>
  <c r="F21" i="21" s="1"/>
  <c r="D21" i="21"/>
  <c r="E21" i="21"/>
  <c r="G21" i="21"/>
  <c r="J21" i="21" s="1"/>
  <c r="H21" i="21"/>
  <c r="I21" i="21" s="1"/>
  <c r="K21" i="21"/>
  <c r="L21" i="21"/>
  <c r="E22" i="21"/>
  <c r="F22" i="21"/>
  <c r="I22" i="21"/>
  <c r="J22" i="21"/>
  <c r="K22" i="21"/>
  <c r="L22" i="21"/>
  <c r="C23" i="21"/>
  <c r="F23" i="21" s="1"/>
  <c r="D23" i="21"/>
  <c r="E23" i="21" s="1"/>
  <c r="H23" i="2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E6" i="19"/>
  <c r="F6" i="19"/>
  <c r="E7" i="19"/>
  <c r="F7" i="19"/>
  <c r="E8" i="19"/>
  <c r="F8" i="19"/>
  <c r="E9" i="19"/>
  <c r="F9" i="19"/>
  <c r="E10" i="19"/>
  <c r="F10" i="19"/>
  <c r="E11" i="19"/>
  <c r="F11" i="19"/>
  <c r="E12" i="19"/>
  <c r="F12" i="19"/>
  <c r="E13" i="19"/>
  <c r="F13" i="19"/>
  <c r="E14" i="19"/>
  <c r="F14" i="19"/>
  <c r="E15" i="19"/>
  <c r="F15" i="19"/>
  <c r="E16" i="19"/>
  <c r="F16" i="19"/>
  <c r="E17" i="19"/>
  <c r="F17" i="19"/>
  <c r="E18" i="19"/>
  <c r="F18" i="19"/>
  <c r="E19" i="19"/>
  <c r="F19" i="19"/>
  <c r="E20" i="19"/>
  <c r="F20" i="19"/>
  <c r="E21" i="19"/>
  <c r="F21" i="19"/>
  <c r="E22" i="19"/>
  <c r="F22" i="19"/>
  <c r="E23" i="19"/>
  <c r="F23" i="19"/>
  <c r="E24" i="19"/>
  <c r="F24" i="19"/>
  <c r="E25" i="19"/>
  <c r="F25" i="19"/>
  <c r="E26" i="19"/>
  <c r="F26" i="19"/>
  <c r="E27" i="19"/>
  <c r="F27" i="19"/>
  <c r="E28" i="19"/>
  <c r="F28" i="19"/>
  <c r="E29" i="19"/>
  <c r="F29" i="19"/>
  <c r="E30" i="19"/>
  <c r="F30" i="19"/>
  <c r="E31" i="19"/>
  <c r="F31" i="19"/>
  <c r="E32" i="19"/>
  <c r="F32" i="19"/>
  <c r="E33" i="19"/>
  <c r="F33" i="19"/>
  <c r="E34" i="19"/>
  <c r="F34" i="19"/>
  <c r="E35" i="19"/>
  <c r="F35" i="19"/>
  <c r="E36" i="19"/>
  <c r="F36" i="19"/>
  <c r="E37" i="19"/>
  <c r="F37" i="19"/>
  <c r="E38" i="19"/>
  <c r="F38" i="19"/>
  <c r="E39" i="19"/>
  <c r="F39" i="19"/>
  <c r="E40" i="19"/>
  <c r="F40" i="19"/>
  <c r="E41" i="19"/>
  <c r="F41" i="19"/>
  <c r="E42" i="19"/>
  <c r="F42" i="19"/>
  <c r="E43" i="19"/>
  <c r="F43" i="19"/>
  <c r="E44" i="19"/>
  <c r="F44" i="19"/>
  <c r="E45" i="19"/>
  <c r="F45" i="19"/>
  <c r="E46" i="19"/>
  <c r="F46" i="19"/>
  <c r="E47" i="19"/>
  <c r="F47" i="19"/>
  <c r="E48" i="19"/>
  <c r="F48" i="19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U21" i="106" l="1"/>
  <c r="U41" i="106" s="1"/>
  <c r="C20" i="109"/>
  <c r="X42" i="113"/>
  <c r="B60" i="102"/>
  <c r="I60" i="102" s="1"/>
  <c r="L23" i="21"/>
  <c r="G23" i="21"/>
  <c r="J23" i="21" s="1"/>
  <c r="Q21" i="103"/>
  <c r="B84" i="106"/>
  <c r="B83" i="106"/>
  <c r="B82" i="106"/>
  <c r="B81" i="106"/>
  <c r="B80" i="106"/>
  <c r="B79" i="106"/>
  <c r="B78" i="106"/>
  <c r="B77" i="106"/>
  <c r="B76" i="106"/>
  <c r="B75" i="106"/>
  <c r="B74" i="106"/>
  <c r="B73" i="106"/>
  <c r="B72" i="106"/>
  <c r="B71" i="106"/>
  <c r="M65" i="106"/>
  <c r="G60" i="106"/>
  <c r="J58" i="106"/>
  <c r="D57" i="106"/>
  <c r="P55" i="106"/>
  <c r="J54" i="106"/>
  <c r="D53" i="106"/>
  <c r="B52" i="106"/>
  <c r="D52" i="106" s="1"/>
  <c r="P51" i="106"/>
  <c r="AG41" i="106"/>
  <c r="AI41" i="106" s="1"/>
  <c r="AC41" i="106"/>
  <c r="C41" i="106"/>
  <c r="AC39" i="106"/>
  <c r="D39" i="106"/>
  <c r="AC37" i="106"/>
  <c r="D37" i="106"/>
  <c r="AC35" i="106"/>
  <c r="D35" i="106"/>
  <c r="AC33" i="106"/>
  <c r="D33" i="106"/>
  <c r="AC31" i="106"/>
  <c r="D31" i="106"/>
  <c r="AC29" i="106"/>
  <c r="Z28" i="106"/>
  <c r="H21" i="111"/>
  <c r="J21" i="43"/>
  <c r="H43" i="113"/>
  <c r="N21" i="113"/>
  <c r="T19" i="113"/>
  <c r="E41" i="113"/>
  <c r="C41" i="113" s="1"/>
  <c r="I41" i="113" s="1"/>
  <c r="T17" i="113"/>
  <c r="E39" i="113"/>
  <c r="C39" i="113" s="1"/>
  <c r="I39" i="113" s="1"/>
  <c r="T15" i="113"/>
  <c r="E37" i="113"/>
  <c r="C37" i="113" s="1"/>
  <c r="I37" i="113" s="1"/>
  <c r="C35" i="113"/>
  <c r="I35" i="113" s="1"/>
  <c r="C33" i="113"/>
  <c r="I33" i="113" s="1"/>
  <c r="C31" i="113"/>
  <c r="I31" i="113" s="1"/>
  <c r="V21" i="113"/>
  <c r="E29" i="113"/>
  <c r="K23" i="21"/>
  <c r="G85" i="106"/>
  <c r="C84" i="106"/>
  <c r="C83" i="106"/>
  <c r="C82" i="106"/>
  <c r="C81" i="106"/>
  <c r="C80" i="106"/>
  <c r="C79" i="106"/>
  <c r="C78" i="106"/>
  <c r="C77" i="106"/>
  <c r="C76" i="106"/>
  <c r="C75" i="106"/>
  <c r="C74" i="106"/>
  <c r="C73" i="106"/>
  <c r="C72" i="106"/>
  <c r="C71" i="106"/>
  <c r="F65" i="106"/>
  <c r="G65" i="106" s="1"/>
  <c r="S63" i="106"/>
  <c r="M62" i="106"/>
  <c r="C62" i="106"/>
  <c r="D62" i="106" s="1"/>
  <c r="G61" i="106"/>
  <c r="S59" i="106"/>
  <c r="C58" i="106"/>
  <c r="D58" i="106" s="1"/>
  <c r="P56" i="106"/>
  <c r="J55" i="106"/>
  <c r="D54" i="106"/>
  <c r="P52" i="106"/>
  <c r="J51" i="106"/>
  <c r="AI40" i="106"/>
  <c r="V39" i="106"/>
  <c r="W39" i="106" s="1"/>
  <c r="AI38" i="106"/>
  <c r="V37" i="106"/>
  <c r="W37" i="106" s="1"/>
  <c r="AI36" i="106"/>
  <c r="V35" i="106"/>
  <c r="W35" i="106" s="1"/>
  <c r="AI34" i="106"/>
  <c r="V33" i="106"/>
  <c r="W33" i="106" s="1"/>
  <c r="AI32" i="106"/>
  <c r="V31" i="106"/>
  <c r="W31" i="106" s="1"/>
  <c r="AI30" i="106"/>
  <c r="V29" i="106"/>
  <c r="W29" i="106" s="1"/>
  <c r="D28" i="106"/>
  <c r="Z27" i="106"/>
  <c r="AL21" i="106"/>
  <c r="V21" i="106"/>
  <c r="J21" i="106"/>
  <c r="W7" i="106"/>
  <c r="L43" i="113"/>
  <c r="F43" i="113"/>
  <c r="C40" i="113"/>
  <c r="I40" i="113" s="1"/>
  <c r="C36" i="113"/>
  <c r="I36" i="113" s="1"/>
  <c r="C32" i="113"/>
  <c r="I32" i="113" s="1"/>
  <c r="H638" i="148"/>
  <c r="H731" i="148" s="1"/>
  <c r="H732" i="148"/>
  <c r="D43" i="113"/>
  <c r="G29" i="113"/>
  <c r="G43" i="113" s="1"/>
  <c r="X21" i="113"/>
  <c r="B31" i="46"/>
  <c r="AL28" i="106"/>
  <c r="AF27" i="106"/>
  <c r="Z21" i="106"/>
  <c r="L20" i="102"/>
  <c r="C20" i="102"/>
  <c r="J59" i="102" s="1"/>
  <c r="F29" i="100"/>
  <c r="F27" i="100"/>
  <c r="I635" i="148"/>
  <c r="I634" i="148" s="1"/>
  <c r="I627" i="148"/>
  <c r="I626" i="148" s="1"/>
  <c r="F622" i="148"/>
  <c r="I603" i="148"/>
  <c r="I602" i="148" s="1"/>
  <c r="F598" i="148"/>
  <c r="I597" i="148"/>
  <c r="I596" i="148" s="1"/>
  <c r="H577" i="148"/>
  <c r="H576" i="148" s="1"/>
  <c r="H720" i="148" s="1"/>
  <c r="F573" i="148"/>
  <c r="F572" i="148" s="1"/>
  <c r="F564" i="148"/>
  <c r="F563" i="148" s="1"/>
  <c r="F551" i="148"/>
  <c r="F550" i="148" s="1"/>
  <c r="F539" i="148"/>
  <c r="F538" i="148" s="1"/>
  <c r="F529" i="148"/>
  <c r="H514" i="148"/>
  <c r="I515" i="148"/>
  <c r="I514" i="148" s="1"/>
  <c r="I510" i="148"/>
  <c r="I502" i="148"/>
  <c r="J503" i="148"/>
  <c r="H489" i="148"/>
  <c r="H488" i="148" s="1"/>
  <c r="H706" i="148" s="1"/>
  <c r="I490" i="148"/>
  <c r="J490" i="148" s="1"/>
  <c r="I478" i="148"/>
  <c r="J479" i="148"/>
  <c r="K479" i="148" s="1"/>
  <c r="L479" i="148" s="1"/>
  <c r="M479" i="148" s="1"/>
  <c r="N479" i="148" s="1"/>
  <c r="O479" i="148" s="1"/>
  <c r="P479" i="148" s="1"/>
  <c r="Q479" i="148" s="1"/>
  <c r="R479" i="148" s="1"/>
  <c r="S479" i="148" s="1"/>
  <c r="T479" i="148" s="1"/>
  <c r="U479" i="148" s="1"/>
  <c r="V479" i="148" s="1"/>
  <c r="W479" i="148" s="1"/>
  <c r="X479" i="148" s="1"/>
  <c r="Y479" i="148" s="1"/>
  <c r="Z479" i="148" s="1"/>
  <c r="AA479" i="148" s="1"/>
  <c r="AB479" i="148" s="1"/>
  <c r="AC479" i="148" s="1"/>
  <c r="AD479" i="148" s="1"/>
  <c r="AE479" i="148" s="1"/>
  <c r="AF479" i="148" s="1"/>
  <c r="F468" i="148"/>
  <c r="F460" i="148"/>
  <c r="I30" i="100"/>
  <c r="D30" i="100"/>
  <c r="E30" i="100" s="1"/>
  <c r="I28" i="100"/>
  <c r="I26" i="100"/>
  <c r="I8" i="96"/>
  <c r="I18" i="96" s="1"/>
  <c r="F666" i="148"/>
  <c r="F665" i="148" s="1"/>
  <c r="F657" i="148"/>
  <c r="H657" i="148"/>
  <c r="H621" i="148"/>
  <c r="H729" i="148" s="1"/>
  <c r="F606" i="148"/>
  <c r="F605" i="148" s="1"/>
  <c r="F604" i="148" s="1"/>
  <c r="H492" i="148"/>
  <c r="I493" i="148"/>
  <c r="I492" i="148" s="1"/>
  <c r="J44" i="113"/>
  <c r="C42" i="113"/>
  <c r="I42" i="113" s="1"/>
  <c r="C38" i="113"/>
  <c r="I38" i="113" s="1"/>
  <c r="C34" i="113"/>
  <c r="I34" i="113" s="1"/>
  <c r="C30" i="113"/>
  <c r="I30" i="113" s="1"/>
  <c r="T20" i="113"/>
  <c r="T18" i="113"/>
  <c r="T16" i="113"/>
  <c r="T14" i="113"/>
  <c r="T13" i="113"/>
  <c r="T12" i="113"/>
  <c r="T11" i="113"/>
  <c r="T10" i="113"/>
  <c r="T21" i="113" s="1"/>
  <c r="T9" i="113"/>
  <c r="T8" i="113"/>
  <c r="T7" i="113"/>
  <c r="J20" i="102"/>
  <c r="J30" i="117"/>
  <c r="F28" i="100"/>
  <c r="F26" i="100"/>
  <c r="H653" i="148"/>
  <c r="H652" i="148" s="1"/>
  <c r="H737" i="148" s="1"/>
  <c r="F653" i="148"/>
  <c r="H643" i="148"/>
  <c r="H606" i="148"/>
  <c r="H605" i="148" s="1"/>
  <c r="F589" i="148"/>
  <c r="F586" i="148" s="1"/>
  <c r="H581" i="148"/>
  <c r="H722" i="148" s="1"/>
  <c r="F556" i="148"/>
  <c r="F555" i="148" s="1"/>
  <c r="F545" i="148"/>
  <c r="F544" i="148" s="1"/>
  <c r="F533" i="148"/>
  <c r="F532" i="148" s="1"/>
  <c r="I518" i="148"/>
  <c r="F510" i="148"/>
  <c r="B17" i="46"/>
  <c r="H614" i="148"/>
  <c r="H613" i="148" s="1"/>
  <c r="H728" i="148" s="1"/>
  <c r="F577" i="148"/>
  <c r="F576" i="148" s="1"/>
  <c r="H556" i="148"/>
  <c r="H555" i="148" s="1"/>
  <c r="H716" i="148" s="1"/>
  <c r="H529" i="148"/>
  <c r="I505" i="148"/>
  <c r="J506" i="148"/>
  <c r="H499" i="148"/>
  <c r="I500" i="148"/>
  <c r="H510" i="148"/>
  <c r="H502" i="148"/>
  <c r="F492" i="148"/>
  <c r="H460" i="148"/>
  <c r="I425" i="148"/>
  <c r="I424" i="148" s="1"/>
  <c r="I697" i="148" s="1"/>
  <c r="I370" i="148"/>
  <c r="I685" i="148" s="1"/>
  <c r="H382" i="148"/>
  <c r="H687" i="148" s="1"/>
  <c r="I383" i="148"/>
  <c r="I382" i="148" s="1"/>
  <c r="I687" i="148" s="1"/>
  <c r="H505" i="148"/>
  <c r="H482" i="148"/>
  <c r="H478" i="148"/>
  <c r="H474" i="148"/>
  <c r="H468" i="148"/>
  <c r="H703" i="148" s="1"/>
  <c r="H447" i="148"/>
  <c r="H438" i="148"/>
  <c r="H416" i="148"/>
  <c r="H693" i="148" s="1"/>
  <c r="I417" i="148"/>
  <c r="H397" i="148"/>
  <c r="H689" i="148" s="1"/>
  <c r="I398" i="148"/>
  <c r="J398" i="148" s="1"/>
  <c r="F447" i="148"/>
  <c r="F438" i="148"/>
  <c r="H404" i="148"/>
  <c r="H690" i="148" s="1"/>
  <c r="H427" i="148"/>
  <c r="H426" i="148" s="1"/>
  <c r="H698" i="148" s="1"/>
  <c r="H421" i="148"/>
  <c r="H696" i="148" s="1"/>
  <c r="H412" i="148"/>
  <c r="H692" i="148" s="1"/>
  <c r="F397" i="148"/>
  <c r="F382" i="148"/>
  <c r="H377" i="148"/>
  <c r="H686" i="148" s="1"/>
  <c r="F360" i="148"/>
  <c r="F276" i="148"/>
  <c r="F264" i="148"/>
  <c r="F263" i="148" s="1"/>
  <c r="F262" i="148" s="1"/>
  <c r="F256" i="148"/>
  <c r="F160" i="148"/>
  <c r="F40" i="148"/>
  <c r="BX24" i="124"/>
  <c r="BW24" i="124" s="1"/>
  <c r="BR24" i="124"/>
  <c r="Y24" i="124"/>
  <c r="I24" i="124"/>
  <c r="E24" i="124"/>
  <c r="X23" i="124"/>
  <c r="D23" i="124"/>
  <c r="D22" i="124"/>
  <c r="X20" i="124"/>
  <c r="AR19" i="124"/>
  <c r="AR18" i="124"/>
  <c r="X15" i="124"/>
  <c r="D15" i="124"/>
  <c r="D14" i="124"/>
  <c r="X12" i="124"/>
  <c r="X10" i="124"/>
  <c r="D10" i="124"/>
  <c r="F377" i="148"/>
  <c r="H370" i="148"/>
  <c r="H685" i="148" s="1"/>
  <c r="F182" i="148"/>
  <c r="BK24" i="124"/>
  <c r="F416" i="148"/>
  <c r="F411" i="148" s="1"/>
  <c r="F404" i="148"/>
  <c r="F370" i="148"/>
  <c r="F311" i="148"/>
  <c r="F280" i="148"/>
  <c r="F247" i="148"/>
  <c r="F214" i="148"/>
  <c r="F213" i="148" s="1"/>
  <c r="F74" i="148"/>
  <c r="F55" i="148"/>
  <c r="F28" i="148"/>
  <c r="F18" i="148"/>
  <c r="BD24" i="124"/>
  <c r="AX24" i="124"/>
  <c r="AJ24" i="124"/>
  <c r="AB24" i="124"/>
  <c r="Q24" i="124"/>
  <c r="D24" i="124" s="1"/>
  <c r="AR23" i="124"/>
  <c r="AR22" i="124"/>
  <c r="X19" i="124"/>
  <c r="D19" i="124"/>
  <c r="D18" i="124"/>
  <c r="X16" i="124"/>
  <c r="AR15" i="124"/>
  <c r="AR14" i="124"/>
  <c r="X11" i="124"/>
  <c r="AR10" i="124"/>
  <c r="H360" i="148"/>
  <c r="H684" i="148" s="1"/>
  <c r="F175" i="148"/>
  <c r="F136" i="148"/>
  <c r="F126" i="148"/>
  <c r="F105" i="148"/>
  <c r="F45" i="148"/>
  <c r="E51" i="139"/>
  <c r="AS24" i="124"/>
  <c r="X22" i="124"/>
  <c r="AR21" i="124"/>
  <c r="AR20" i="124"/>
  <c r="X17" i="124"/>
  <c r="D17" i="124"/>
  <c r="X14" i="124"/>
  <c r="AR13" i="124"/>
  <c r="AR12" i="124"/>
  <c r="B85" i="106"/>
  <c r="F30" i="100"/>
  <c r="C85" i="106"/>
  <c r="D71" i="106"/>
  <c r="D84" i="106"/>
  <c r="D83" i="106"/>
  <c r="D82" i="106"/>
  <c r="D81" i="106"/>
  <c r="D80" i="106"/>
  <c r="D79" i="106"/>
  <c r="D78" i="106"/>
  <c r="D77" i="106"/>
  <c r="D76" i="106"/>
  <c r="D75" i="106"/>
  <c r="D74" i="106"/>
  <c r="D73" i="106"/>
  <c r="D72" i="106"/>
  <c r="H665" i="148"/>
  <c r="H738" i="148" s="1"/>
  <c r="F652" i="148"/>
  <c r="F651" i="148" s="1"/>
  <c r="F643" i="148"/>
  <c r="F642" i="148" s="1"/>
  <c r="H628" i="148"/>
  <c r="H730" i="148" s="1"/>
  <c r="F621" i="148"/>
  <c r="G84" i="106"/>
  <c r="G83" i="106"/>
  <c r="G82" i="106"/>
  <c r="G81" i="106"/>
  <c r="G80" i="106"/>
  <c r="G79" i="106"/>
  <c r="G78" i="106"/>
  <c r="G77" i="106"/>
  <c r="G76" i="106"/>
  <c r="G75" i="106"/>
  <c r="G74" i="106"/>
  <c r="G73" i="106"/>
  <c r="G72" i="106"/>
  <c r="G71" i="106"/>
  <c r="F628" i="148"/>
  <c r="F613" i="148"/>
  <c r="F612" i="148" s="1"/>
  <c r="H598" i="148"/>
  <c r="I599" i="148"/>
  <c r="J673" i="148"/>
  <c r="I670" i="148"/>
  <c r="I667" i="148"/>
  <c r="I658" i="148"/>
  <c r="I655" i="148"/>
  <c r="J655" i="148" s="1"/>
  <c r="K655" i="148" s="1"/>
  <c r="L655" i="148" s="1"/>
  <c r="M655" i="148" s="1"/>
  <c r="N655" i="148" s="1"/>
  <c r="O655" i="148" s="1"/>
  <c r="P655" i="148" s="1"/>
  <c r="Q655" i="148" s="1"/>
  <c r="R655" i="148" s="1"/>
  <c r="S655" i="148" s="1"/>
  <c r="T655" i="148" s="1"/>
  <c r="U655" i="148" s="1"/>
  <c r="V655" i="148" s="1"/>
  <c r="W655" i="148" s="1"/>
  <c r="X655" i="148" s="1"/>
  <c r="Y655" i="148" s="1"/>
  <c r="Z655" i="148" s="1"/>
  <c r="AA655" i="148" s="1"/>
  <c r="AB655" i="148" s="1"/>
  <c r="AC655" i="148" s="1"/>
  <c r="AD655" i="148" s="1"/>
  <c r="AE655" i="148" s="1"/>
  <c r="AF655" i="148" s="1"/>
  <c r="J654" i="148"/>
  <c r="I650" i="148"/>
  <c r="J647" i="148"/>
  <c r="I645" i="148"/>
  <c r="J641" i="148"/>
  <c r="I637" i="148"/>
  <c r="J635" i="148"/>
  <c r="I633" i="148"/>
  <c r="I630" i="148"/>
  <c r="J627" i="148"/>
  <c r="I623" i="148"/>
  <c r="I619" i="148"/>
  <c r="I616" i="148"/>
  <c r="J616" i="148" s="1"/>
  <c r="K616" i="148" s="1"/>
  <c r="L616" i="148" s="1"/>
  <c r="M616" i="148" s="1"/>
  <c r="N616" i="148" s="1"/>
  <c r="O616" i="148" s="1"/>
  <c r="P616" i="148" s="1"/>
  <c r="Q616" i="148" s="1"/>
  <c r="R616" i="148" s="1"/>
  <c r="S616" i="148" s="1"/>
  <c r="T616" i="148" s="1"/>
  <c r="U616" i="148" s="1"/>
  <c r="V616" i="148" s="1"/>
  <c r="W616" i="148" s="1"/>
  <c r="X616" i="148" s="1"/>
  <c r="Y616" i="148" s="1"/>
  <c r="Z616" i="148" s="1"/>
  <c r="AA616" i="148" s="1"/>
  <c r="AB616" i="148" s="1"/>
  <c r="AC616" i="148" s="1"/>
  <c r="AD616" i="148" s="1"/>
  <c r="AE616" i="148" s="1"/>
  <c r="AF616" i="148" s="1"/>
  <c r="J615" i="148"/>
  <c r="I607" i="148"/>
  <c r="J603" i="148"/>
  <c r="F595" i="148"/>
  <c r="I589" i="148"/>
  <c r="F581" i="148"/>
  <c r="I564" i="148"/>
  <c r="I563" i="148" s="1"/>
  <c r="F562" i="148"/>
  <c r="I551" i="148"/>
  <c r="I550" i="148" s="1"/>
  <c r="I715" i="148" s="1"/>
  <c r="I545" i="148"/>
  <c r="I544" i="148" s="1"/>
  <c r="I714" i="148" s="1"/>
  <c r="I539" i="148"/>
  <c r="I538" i="148" s="1"/>
  <c r="I713" i="148" s="1"/>
  <c r="I533" i="148"/>
  <c r="I532" i="148" s="1"/>
  <c r="I712" i="148" s="1"/>
  <c r="I529" i="148"/>
  <c r="H595" i="148"/>
  <c r="H724" i="148" s="1"/>
  <c r="J489" i="148"/>
  <c r="J488" i="148" s="1"/>
  <c r="K490" i="148"/>
  <c r="J432" i="148"/>
  <c r="K433" i="148"/>
  <c r="H589" i="148"/>
  <c r="H586" i="148" s="1"/>
  <c r="H564" i="148"/>
  <c r="H563" i="148" s="1"/>
  <c r="H551" i="148"/>
  <c r="H550" i="148" s="1"/>
  <c r="H715" i="148" s="1"/>
  <c r="H545" i="148"/>
  <c r="H544" i="148" s="1"/>
  <c r="H714" i="148" s="1"/>
  <c r="H539" i="148"/>
  <c r="H538" i="148" s="1"/>
  <c r="H713" i="148" s="1"/>
  <c r="H533" i="148"/>
  <c r="H532" i="148" s="1"/>
  <c r="H712" i="148" s="1"/>
  <c r="I524" i="148"/>
  <c r="I523" i="148" s="1"/>
  <c r="F524" i="148"/>
  <c r="F523" i="148" s="1"/>
  <c r="F522" i="148" s="1"/>
  <c r="F513" i="148"/>
  <c r="H501" i="148"/>
  <c r="H708" i="148" s="1"/>
  <c r="F491" i="148"/>
  <c r="AF478" i="148"/>
  <c r="AD478" i="148"/>
  <c r="AB478" i="148"/>
  <c r="Z478" i="148"/>
  <c r="X478" i="148"/>
  <c r="V478" i="148"/>
  <c r="T478" i="148"/>
  <c r="R478" i="148"/>
  <c r="P478" i="148"/>
  <c r="N478" i="148"/>
  <c r="L478" i="148"/>
  <c r="J478" i="148"/>
  <c r="H473" i="148"/>
  <c r="H472" i="148" s="1"/>
  <c r="H704" i="148" s="1"/>
  <c r="H437" i="148"/>
  <c r="H702" i="148" s="1"/>
  <c r="J597" i="148"/>
  <c r="I594" i="148"/>
  <c r="J590" i="148"/>
  <c r="I588" i="148"/>
  <c r="J585" i="148"/>
  <c r="I583" i="148"/>
  <c r="I578" i="148"/>
  <c r="I574" i="148"/>
  <c r="J565" i="148"/>
  <c r="I557" i="148"/>
  <c r="J552" i="148"/>
  <c r="J546" i="148"/>
  <c r="J540" i="148"/>
  <c r="J534" i="148"/>
  <c r="J530" i="148"/>
  <c r="J525" i="148"/>
  <c r="H524" i="148"/>
  <c r="H523" i="148" s="1"/>
  <c r="H513" i="148"/>
  <c r="H709" i="148" s="1"/>
  <c r="I501" i="148"/>
  <c r="I708" i="148" s="1"/>
  <c r="F501" i="148"/>
  <c r="F487" i="148" s="1"/>
  <c r="H491" i="148"/>
  <c r="H707" i="148" s="1"/>
  <c r="H487" i="148"/>
  <c r="H705" i="148" s="1"/>
  <c r="I482" i="148"/>
  <c r="AE478" i="148"/>
  <c r="AC478" i="148"/>
  <c r="AA478" i="148"/>
  <c r="Y478" i="148"/>
  <c r="W478" i="148"/>
  <c r="U478" i="148"/>
  <c r="S478" i="148"/>
  <c r="Q478" i="148"/>
  <c r="O478" i="148"/>
  <c r="M478" i="148"/>
  <c r="K478" i="148"/>
  <c r="I474" i="148"/>
  <c r="I473" i="148" s="1"/>
  <c r="I472" i="148" s="1"/>
  <c r="I704" i="148" s="1"/>
  <c r="F473" i="148"/>
  <c r="F472" i="148" s="1"/>
  <c r="I468" i="148"/>
  <c r="I703" i="148" s="1"/>
  <c r="I460" i="148"/>
  <c r="I447" i="148"/>
  <c r="I438" i="148"/>
  <c r="F437" i="148"/>
  <c r="J397" i="148"/>
  <c r="J689" i="148" s="1"/>
  <c r="K398" i="148"/>
  <c r="J515" i="148"/>
  <c r="J511" i="148"/>
  <c r="J493" i="148"/>
  <c r="I489" i="148"/>
  <c r="I488" i="148" s="1"/>
  <c r="J483" i="148"/>
  <c r="J475" i="148"/>
  <c r="J461" i="148"/>
  <c r="J448" i="148"/>
  <c r="J439" i="148"/>
  <c r="H432" i="148"/>
  <c r="H420" i="148"/>
  <c r="I416" i="148"/>
  <c r="I693" i="148" s="1"/>
  <c r="H411" i="148"/>
  <c r="H691" i="148" s="1"/>
  <c r="I521" i="148"/>
  <c r="J509" i="148"/>
  <c r="J469" i="148"/>
  <c r="I432" i="148"/>
  <c r="F432" i="148"/>
  <c r="F431" i="148" s="1"/>
  <c r="F430" i="148" s="1"/>
  <c r="I421" i="148"/>
  <c r="F419" i="148"/>
  <c r="K349" i="148"/>
  <c r="L350" i="148"/>
  <c r="J428" i="148"/>
  <c r="I397" i="148"/>
  <c r="I689" i="148" s="1"/>
  <c r="AE387" i="148"/>
  <c r="AE688" i="148" s="1"/>
  <c r="AC387" i="148"/>
  <c r="AC688" i="148" s="1"/>
  <c r="AA387" i="148"/>
  <c r="AA688" i="148" s="1"/>
  <c r="Y387" i="148"/>
  <c r="Y688" i="148" s="1"/>
  <c r="W387" i="148"/>
  <c r="W688" i="148" s="1"/>
  <c r="U387" i="148"/>
  <c r="U688" i="148" s="1"/>
  <c r="S387" i="148"/>
  <c r="S688" i="148" s="1"/>
  <c r="Q387" i="148"/>
  <c r="Q688" i="148" s="1"/>
  <c r="O387" i="148"/>
  <c r="O688" i="148" s="1"/>
  <c r="M387" i="148"/>
  <c r="M688" i="148" s="1"/>
  <c r="K387" i="148"/>
  <c r="K688" i="148" s="1"/>
  <c r="I387" i="148"/>
  <c r="I688" i="148" s="1"/>
  <c r="F387" i="148"/>
  <c r="AF377" i="148"/>
  <c r="AF686" i="148" s="1"/>
  <c r="AD377" i="148"/>
  <c r="AD686" i="148" s="1"/>
  <c r="AB377" i="148"/>
  <c r="AB686" i="148" s="1"/>
  <c r="Z377" i="148"/>
  <c r="Z686" i="148" s="1"/>
  <c r="X377" i="148"/>
  <c r="X686" i="148" s="1"/>
  <c r="V377" i="148"/>
  <c r="V686" i="148" s="1"/>
  <c r="T377" i="148"/>
  <c r="T686" i="148" s="1"/>
  <c r="R377" i="148"/>
  <c r="R686" i="148" s="1"/>
  <c r="P377" i="148"/>
  <c r="P686" i="148" s="1"/>
  <c r="N377" i="148"/>
  <c r="N686" i="148" s="1"/>
  <c r="L377" i="148"/>
  <c r="L686" i="148" s="1"/>
  <c r="J377" i="148"/>
  <c r="J686" i="148" s="1"/>
  <c r="M360" i="148"/>
  <c r="M684" i="148" s="1"/>
  <c r="K360" i="148"/>
  <c r="K684" i="148" s="1"/>
  <c r="I360" i="148"/>
  <c r="I684" i="148" s="1"/>
  <c r="J425" i="148"/>
  <c r="J422" i="148"/>
  <c r="J417" i="148"/>
  <c r="I413" i="148"/>
  <c r="I405" i="148"/>
  <c r="AF387" i="148"/>
  <c r="AF688" i="148" s="1"/>
  <c r="AD387" i="148"/>
  <c r="AD688" i="148" s="1"/>
  <c r="AB387" i="148"/>
  <c r="AB688" i="148" s="1"/>
  <c r="Z387" i="148"/>
  <c r="Z688" i="148" s="1"/>
  <c r="X387" i="148"/>
  <c r="X688" i="148" s="1"/>
  <c r="V387" i="148"/>
  <c r="V688" i="148" s="1"/>
  <c r="T387" i="148"/>
  <c r="T688" i="148" s="1"/>
  <c r="R387" i="148"/>
  <c r="R688" i="148" s="1"/>
  <c r="P387" i="148"/>
  <c r="P688" i="148" s="1"/>
  <c r="N387" i="148"/>
  <c r="N688" i="148" s="1"/>
  <c r="L387" i="148"/>
  <c r="L688" i="148" s="1"/>
  <c r="J387" i="148"/>
  <c r="J688" i="148" s="1"/>
  <c r="H387" i="148"/>
  <c r="H688" i="148" s="1"/>
  <c r="AE377" i="148"/>
  <c r="AE686" i="148" s="1"/>
  <c r="AC377" i="148"/>
  <c r="AC686" i="148" s="1"/>
  <c r="AA377" i="148"/>
  <c r="AA686" i="148" s="1"/>
  <c r="Y377" i="148"/>
  <c r="Y686" i="148" s="1"/>
  <c r="W377" i="148"/>
  <c r="W686" i="148" s="1"/>
  <c r="U377" i="148"/>
  <c r="U686" i="148" s="1"/>
  <c r="S377" i="148"/>
  <c r="S686" i="148" s="1"/>
  <c r="Q377" i="148"/>
  <c r="Q686" i="148" s="1"/>
  <c r="O377" i="148"/>
  <c r="O686" i="148" s="1"/>
  <c r="M377" i="148"/>
  <c r="M686" i="148" s="1"/>
  <c r="K377" i="148"/>
  <c r="K686" i="148" s="1"/>
  <c r="I377" i="148"/>
  <c r="I686" i="148" s="1"/>
  <c r="L360" i="148"/>
  <c r="L684" i="148" s="1"/>
  <c r="J360" i="148"/>
  <c r="J684" i="148" s="1"/>
  <c r="J371" i="148"/>
  <c r="I349" i="148"/>
  <c r="F349" i="148"/>
  <c r="F348" i="148" s="1"/>
  <c r="J383" i="148"/>
  <c r="N361" i="148"/>
  <c r="J349" i="148"/>
  <c r="H349" i="148"/>
  <c r="F330" i="148"/>
  <c r="F329" i="148" s="1"/>
  <c r="F315" i="148"/>
  <c r="F310" i="148" s="1"/>
  <c r="F309" i="148" s="1"/>
  <c r="F307" i="148"/>
  <c r="F306" i="148" s="1"/>
  <c r="F304" i="148"/>
  <c r="F301" i="148" s="1"/>
  <c r="F300" i="148" s="1"/>
  <c r="F298" i="148"/>
  <c r="F297" i="148" s="1"/>
  <c r="F296" i="148" s="1"/>
  <c r="F292" i="148"/>
  <c r="F287" i="148"/>
  <c r="F286" i="148" s="1"/>
  <c r="F284" i="148"/>
  <c r="F279" i="148" s="1"/>
  <c r="F272" i="148"/>
  <c r="F271" i="148" s="1"/>
  <c r="F260" i="148"/>
  <c r="F254" i="148"/>
  <c r="F251" i="148"/>
  <c r="F245" i="148"/>
  <c r="F242" i="148"/>
  <c r="F239" i="148" s="1"/>
  <c r="F235" i="148"/>
  <c r="F234" i="148" s="1"/>
  <c r="F231" i="148"/>
  <c r="F230" i="148" s="1"/>
  <c r="F222" i="148"/>
  <c r="F221" i="148" s="1"/>
  <c r="F209" i="148"/>
  <c r="F208" i="148" s="1"/>
  <c r="F203" i="148"/>
  <c r="F202" i="148" s="1"/>
  <c r="F197" i="148"/>
  <c r="F196" i="148" s="1"/>
  <c r="C23" i="124"/>
  <c r="C22" i="124"/>
  <c r="C19" i="124"/>
  <c r="C18" i="124"/>
  <c r="C15" i="124"/>
  <c r="C14" i="124"/>
  <c r="C10" i="124"/>
  <c r="AR24" i="124"/>
  <c r="X24" i="124"/>
  <c r="C21" i="124"/>
  <c r="C20" i="124"/>
  <c r="C17" i="124"/>
  <c r="C16" i="124"/>
  <c r="C13" i="124"/>
  <c r="C12" i="124"/>
  <c r="C11" i="124"/>
  <c r="F191" i="148"/>
  <c r="F190" i="148" s="1"/>
  <c r="F187" i="148"/>
  <c r="F181" i="148" s="1"/>
  <c r="F178" i="148"/>
  <c r="F172" i="148"/>
  <c r="F171" i="148" s="1"/>
  <c r="F168" i="148"/>
  <c r="F163" i="148"/>
  <c r="F159" i="148" s="1"/>
  <c r="F150" i="148"/>
  <c r="F149" i="148" s="1"/>
  <c r="F140" i="148"/>
  <c r="F132" i="148"/>
  <c r="F118" i="148"/>
  <c r="F96" i="148"/>
  <c r="F95" i="148" s="1"/>
  <c r="F90" i="148"/>
  <c r="F79" i="148"/>
  <c r="F78" i="148" s="1"/>
  <c r="F77" i="148" s="1"/>
  <c r="F70" i="148"/>
  <c r="F69" i="148" s="1"/>
  <c r="F62" i="148"/>
  <c r="F35" i="148"/>
  <c r="F7" i="148"/>
  <c r="H612" i="148" l="1"/>
  <c r="H727" i="148" s="1"/>
  <c r="H651" i="148"/>
  <c r="H736" i="148" s="1"/>
  <c r="D85" i="106"/>
  <c r="I499" i="148"/>
  <c r="I491" i="148" s="1"/>
  <c r="I707" i="148" s="1"/>
  <c r="J500" i="148"/>
  <c r="H604" i="148"/>
  <c r="H725" i="148" s="1"/>
  <c r="H726" i="148"/>
  <c r="V41" i="106"/>
  <c r="W41" i="106" s="1"/>
  <c r="W21" i="106"/>
  <c r="D41" i="106"/>
  <c r="C65" i="106"/>
  <c r="D65" i="106" s="1"/>
  <c r="F180" i="148"/>
  <c r="I437" i="148"/>
  <c r="I702" i="148" s="1"/>
  <c r="H642" i="148"/>
  <c r="H733" i="148" s="1"/>
  <c r="H734" i="148"/>
  <c r="C29" i="113"/>
  <c r="E43" i="113"/>
  <c r="F6" i="148"/>
  <c r="F5" i="148" s="1"/>
  <c r="F131" i="148"/>
  <c r="F130" i="148" s="1"/>
  <c r="C24" i="124"/>
  <c r="J505" i="148"/>
  <c r="K506" i="148"/>
  <c r="I517" i="148"/>
  <c r="J518" i="148"/>
  <c r="F347" i="148"/>
  <c r="J502" i="148"/>
  <c r="K503" i="148"/>
  <c r="I23" i="21"/>
  <c r="H723" i="148"/>
  <c r="H580" i="148"/>
  <c r="H721" i="148" s="1"/>
  <c r="F145" i="148"/>
  <c r="H348" i="148"/>
  <c r="H683" i="148"/>
  <c r="N360" i="148"/>
  <c r="N684" i="148" s="1"/>
  <c r="O361" i="148"/>
  <c r="K371" i="148"/>
  <c r="J370" i="148"/>
  <c r="J685" i="148" s="1"/>
  <c r="BH686" i="148"/>
  <c r="BG686" i="148"/>
  <c r="BI686" i="148"/>
  <c r="AV686" i="148"/>
  <c r="AU686" i="148"/>
  <c r="AW686" i="148"/>
  <c r="AJ686" i="148"/>
  <c r="AI686" i="148"/>
  <c r="AK686" i="148"/>
  <c r="BJ688" i="148"/>
  <c r="BL688" i="148"/>
  <c r="BK688" i="148"/>
  <c r="AX688" i="148"/>
  <c r="AZ688" i="148"/>
  <c r="AY688" i="148"/>
  <c r="AL688" i="148"/>
  <c r="AN688" i="148"/>
  <c r="AM688" i="148"/>
  <c r="I404" i="148"/>
  <c r="I690" i="148" s="1"/>
  <c r="J405" i="148"/>
  <c r="J416" i="148"/>
  <c r="J693" i="148" s="1"/>
  <c r="K417" i="148"/>
  <c r="J424" i="148"/>
  <c r="J697" i="148" s="1"/>
  <c r="K425" i="148"/>
  <c r="BJ686" i="148"/>
  <c r="BL686" i="148"/>
  <c r="BK686" i="148"/>
  <c r="AX686" i="148"/>
  <c r="AZ686" i="148"/>
  <c r="AY686" i="148"/>
  <c r="AL686" i="148"/>
  <c r="AN686" i="148"/>
  <c r="AM686" i="148"/>
  <c r="BH688" i="148"/>
  <c r="BG688" i="148"/>
  <c r="BI688" i="148"/>
  <c r="AV688" i="148"/>
  <c r="AU688" i="148"/>
  <c r="AW688" i="148"/>
  <c r="AJ688" i="148"/>
  <c r="AI688" i="148"/>
  <c r="AK688" i="148"/>
  <c r="J427" i="148"/>
  <c r="J426" i="148" s="1"/>
  <c r="J698" i="148" s="1"/>
  <c r="K428" i="148"/>
  <c r="K683" i="148"/>
  <c r="I420" i="148"/>
  <c r="I696" i="148"/>
  <c r="I431" i="148"/>
  <c r="I701" i="148"/>
  <c r="J508" i="148"/>
  <c r="K509" i="148"/>
  <c r="H419" i="148"/>
  <c r="H694" i="148" s="1"/>
  <c r="H695" i="148"/>
  <c r="J438" i="148"/>
  <c r="K439" i="148"/>
  <c r="J460" i="148"/>
  <c r="K461" i="148"/>
  <c r="J482" i="148"/>
  <c r="K483" i="148"/>
  <c r="J492" i="148"/>
  <c r="K493" i="148"/>
  <c r="J514" i="148"/>
  <c r="K515" i="148"/>
  <c r="H522" i="148"/>
  <c r="H710" i="148" s="1"/>
  <c r="H711" i="148"/>
  <c r="J529" i="148"/>
  <c r="K530" i="148"/>
  <c r="J539" i="148"/>
  <c r="J538" i="148" s="1"/>
  <c r="J713" i="148" s="1"/>
  <c r="K540" i="148"/>
  <c r="J551" i="148"/>
  <c r="J550" i="148" s="1"/>
  <c r="J715" i="148" s="1"/>
  <c r="K552" i="148"/>
  <c r="J564" i="148"/>
  <c r="J563" i="148" s="1"/>
  <c r="K565" i="148"/>
  <c r="I577" i="148"/>
  <c r="I576" i="148" s="1"/>
  <c r="I720" i="148" s="1"/>
  <c r="J578" i="148"/>
  <c r="J584" i="148"/>
  <c r="K585" i="148"/>
  <c r="J589" i="148"/>
  <c r="K590" i="148"/>
  <c r="J596" i="148"/>
  <c r="K597" i="148"/>
  <c r="I711" i="148"/>
  <c r="J701" i="148"/>
  <c r="J706" i="148"/>
  <c r="I606" i="148"/>
  <c r="I605" i="148" s="1"/>
  <c r="J607" i="148"/>
  <c r="I622" i="148"/>
  <c r="I621" i="148" s="1"/>
  <c r="I729" i="148" s="1"/>
  <c r="J623" i="148"/>
  <c r="I629" i="148"/>
  <c r="J630" i="148"/>
  <c r="J634" i="148"/>
  <c r="K635" i="148"/>
  <c r="J640" i="148"/>
  <c r="J639" i="148" s="1"/>
  <c r="K641" i="148"/>
  <c r="J646" i="148"/>
  <c r="K647" i="148"/>
  <c r="J653" i="148"/>
  <c r="K654" i="148"/>
  <c r="I657" i="148"/>
  <c r="J658" i="148"/>
  <c r="I669" i="148"/>
  <c r="J670" i="148"/>
  <c r="J599" i="148"/>
  <c r="I598" i="148"/>
  <c r="I595" i="148" s="1"/>
  <c r="I724" i="148" s="1"/>
  <c r="F89" i="148"/>
  <c r="F88" i="148" s="1"/>
  <c r="F220" i="148"/>
  <c r="F244" i="148"/>
  <c r="F253" i="148"/>
  <c r="F270" i="148"/>
  <c r="F580" i="148"/>
  <c r="I653" i="148"/>
  <c r="F336" i="148"/>
  <c r="F337" i="148" s="1"/>
  <c r="J683" i="148"/>
  <c r="J382" i="148"/>
  <c r="J687" i="148" s="1"/>
  <c r="K383" i="148"/>
  <c r="I348" i="148"/>
  <c r="I683" i="148"/>
  <c r="BB686" i="148"/>
  <c r="BA686" i="148"/>
  <c r="BC686" i="148"/>
  <c r="AP686" i="148"/>
  <c r="AO686" i="148"/>
  <c r="AQ686" i="148"/>
  <c r="BD688" i="148"/>
  <c r="BF688" i="148"/>
  <c r="BE688" i="148"/>
  <c r="AR688" i="148"/>
  <c r="AT688" i="148"/>
  <c r="AS688" i="148"/>
  <c r="AH688" i="148"/>
  <c r="AG688" i="148"/>
  <c r="I412" i="148"/>
  <c r="J413" i="148"/>
  <c r="J421" i="148"/>
  <c r="K422" i="148"/>
  <c r="BD686" i="148"/>
  <c r="BF686" i="148"/>
  <c r="BE686" i="148"/>
  <c r="AR686" i="148"/>
  <c r="AT686" i="148"/>
  <c r="AS686" i="148"/>
  <c r="AH686" i="148"/>
  <c r="AG686" i="148"/>
  <c r="BB688" i="148"/>
  <c r="BA688" i="148"/>
  <c r="BC688" i="148"/>
  <c r="AP688" i="148"/>
  <c r="AO688" i="148"/>
  <c r="AQ688" i="148"/>
  <c r="L349" i="148"/>
  <c r="M350" i="148"/>
  <c r="J468" i="148"/>
  <c r="J703" i="148" s="1"/>
  <c r="K469" i="148"/>
  <c r="I520" i="148"/>
  <c r="I513" i="148" s="1"/>
  <c r="I709" i="148" s="1"/>
  <c r="J521" i="148"/>
  <c r="H431" i="148"/>
  <c r="H701" i="148"/>
  <c r="J447" i="148"/>
  <c r="K448" i="148"/>
  <c r="J474" i="148"/>
  <c r="J473" i="148" s="1"/>
  <c r="J472" i="148" s="1"/>
  <c r="J704" i="148" s="1"/>
  <c r="K475" i="148"/>
  <c r="I487" i="148"/>
  <c r="I705" i="148" s="1"/>
  <c r="I706" i="148"/>
  <c r="J510" i="148"/>
  <c r="K511" i="148"/>
  <c r="L398" i="148"/>
  <c r="K397" i="148"/>
  <c r="K689" i="148" s="1"/>
  <c r="J524" i="148"/>
  <c r="J523" i="148" s="1"/>
  <c r="K525" i="148"/>
  <c r="J533" i="148"/>
  <c r="J532" i="148" s="1"/>
  <c r="J712" i="148" s="1"/>
  <c r="K534" i="148"/>
  <c r="J545" i="148"/>
  <c r="J544" i="148" s="1"/>
  <c r="J714" i="148" s="1"/>
  <c r="K546" i="148"/>
  <c r="I556" i="148"/>
  <c r="I555" i="148" s="1"/>
  <c r="I716" i="148" s="1"/>
  <c r="J557" i="148"/>
  <c r="I573" i="148"/>
  <c r="I572" i="148" s="1"/>
  <c r="I719" i="148" s="1"/>
  <c r="J574" i="148"/>
  <c r="I582" i="148"/>
  <c r="I581" i="148" s="1"/>
  <c r="J583" i="148"/>
  <c r="I587" i="148"/>
  <c r="J588" i="148"/>
  <c r="I593" i="148"/>
  <c r="J594" i="148"/>
  <c r="H562" i="148"/>
  <c r="H717" i="148" s="1"/>
  <c r="H718" i="148"/>
  <c r="K432" i="148"/>
  <c r="L433" i="148"/>
  <c r="L490" i="148"/>
  <c r="K489" i="148"/>
  <c r="K488" i="148" s="1"/>
  <c r="I718" i="148"/>
  <c r="J602" i="148"/>
  <c r="K603" i="148"/>
  <c r="J614" i="148"/>
  <c r="K615" i="148"/>
  <c r="I618" i="148"/>
  <c r="J619" i="148"/>
  <c r="J626" i="148"/>
  <c r="K627" i="148"/>
  <c r="I632" i="148"/>
  <c r="J633" i="148"/>
  <c r="I636" i="148"/>
  <c r="J637" i="148"/>
  <c r="I644" i="148"/>
  <c r="I643" i="148" s="1"/>
  <c r="J645" i="148"/>
  <c r="I649" i="148"/>
  <c r="I648" i="148" s="1"/>
  <c r="I735" i="148" s="1"/>
  <c r="J650" i="148"/>
  <c r="I666" i="148"/>
  <c r="I665" i="148" s="1"/>
  <c r="I738" i="148" s="1"/>
  <c r="J667" i="148"/>
  <c r="J672" i="148"/>
  <c r="J671" i="148" s="1"/>
  <c r="J739" i="148" s="1"/>
  <c r="K673" i="148"/>
  <c r="I614" i="148"/>
  <c r="I613" i="148" s="1"/>
  <c r="F238" i="148" l="1"/>
  <c r="F332" i="148" s="1"/>
  <c r="G26" i="148" s="1"/>
  <c r="J517" i="148"/>
  <c r="K518" i="148"/>
  <c r="I29" i="113"/>
  <c r="C43" i="113"/>
  <c r="I43" i="113" s="1"/>
  <c r="I562" i="148"/>
  <c r="I717" i="148" s="1"/>
  <c r="F346" i="148"/>
  <c r="K502" i="148"/>
  <c r="L503" i="148"/>
  <c r="K505" i="148"/>
  <c r="L506" i="148"/>
  <c r="J499" i="148"/>
  <c r="J491" i="148" s="1"/>
  <c r="J707" i="148" s="1"/>
  <c r="K500" i="148"/>
  <c r="G19" i="148"/>
  <c r="G33" i="148"/>
  <c r="G34" i="148"/>
  <c r="G43" i="148"/>
  <c r="G53" i="148"/>
  <c r="G76" i="148"/>
  <c r="G83" i="148"/>
  <c r="G82" i="148" s="1"/>
  <c r="G106" i="148"/>
  <c r="G107" i="148"/>
  <c r="G110" i="148"/>
  <c r="G111" i="148"/>
  <c r="G114" i="148"/>
  <c r="G115" i="148"/>
  <c r="G127" i="148"/>
  <c r="G128" i="148"/>
  <c r="G138" i="148"/>
  <c r="G139" i="148"/>
  <c r="G162" i="148"/>
  <c r="G167" i="148"/>
  <c r="G166" i="148" s="1"/>
  <c r="G183" i="148"/>
  <c r="G184" i="148"/>
  <c r="G328" i="148"/>
  <c r="G327" i="148" s="1"/>
  <c r="F338" i="148"/>
  <c r="G216" i="148"/>
  <c r="G217" i="148"/>
  <c r="G241" i="148"/>
  <c r="G240" i="148" s="1"/>
  <c r="G248" i="148"/>
  <c r="G257" i="148"/>
  <c r="G258" i="148"/>
  <c r="G266" i="148"/>
  <c r="G267" i="148"/>
  <c r="G277" i="148"/>
  <c r="G278" i="148"/>
  <c r="G303" i="148"/>
  <c r="G302" i="148" s="1"/>
  <c r="G312" i="148"/>
  <c r="G314" i="148"/>
  <c r="G283" i="148"/>
  <c r="G316" i="148"/>
  <c r="G305" i="148"/>
  <c r="G304" i="148" s="1"/>
  <c r="G275" i="148"/>
  <c r="G273" i="148"/>
  <c r="G237" i="148"/>
  <c r="G233" i="148"/>
  <c r="G225" i="148"/>
  <c r="G223" i="148"/>
  <c r="G211" i="148"/>
  <c r="G206" i="148"/>
  <c r="G199" i="148"/>
  <c r="G194" i="148"/>
  <c r="G174" i="148"/>
  <c r="G170" i="148"/>
  <c r="G144" i="148"/>
  <c r="G142" i="148"/>
  <c r="G124" i="148"/>
  <c r="G122" i="148"/>
  <c r="G102" i="148"/>
  <c r="G100" i="148"/>
  <c r="G92" i="148"/>
  <c r="G81" i="148"/>
  <c r="G63" i="148"/>
  <c r="G58" i="148"/>
  <c r="G24" i="148"/>
  <c r="G17" i="148"/>
  <c r="G156" i="148"/>
  <c r="G152" i="148"/>
  <c r="G59" i="148"/>
  <c r="G54" i="148"/>
  <c r="G37" i="148"/>
  <c r="G32" i="148"/>
  <c r="G16" i="148"/>
  <c r="G12" i="148"/>
  <c r="G318" i="148"/>
  <c r="G313" i="148"/>
  <c r="G317" i="148"/>
  <c r="G308" i="148"/>
  <c r="G307" i="148" s="1"/>
  <c r="G306" i="148" s="1"/>
  <c r="G285" i="148"/>
  <c r="G284" i="148" s="1"/>
  <c r="G274" i="148"/>
  <c r="G243" i="148"/>
  <c r="G242" i="148" s="1"/>
  <c r="G236" i="148"/>
  <c r="G235" i="148" s="1"/>
  <c r="G234" i="148" s="1"/>
  <c r="G226" i="148"/>
  <c r="G224" i="148"/>
  <c r="G205" i="148"/>
  <c r="G200" i="148"/>
  <c r="G193" i="148"/>
  <c r="G189" i="148"/>
  <c r="G169" i="148"/>
  <c r="G164" i="148"/>
  <c r="G143" i="148"/>
  <c r="G141" i="148"/>
  <c r="G123" i="148"/>
  <c r="G121" i="148"/>
  <c r="G101" i="148"/>
  <c r="G99" i="148"/>
  <c r="G91" i="148"/>
  <c r="G80" i="148"/>
  <c r="G79" i="148" s="1"/>
  <c r="G78" i="148" s="1"/>
  <c r="G60" i="148"/>
  <c r="G51" i="148"/>
  <c r="G22" i="148"/>
  <c r="G15" i="148"/>
  <c r="G68" i="148"/>
  <c r="G64" i="148"/>
  <c r="G48" i="148"/>
  <c r="G38" i="148"/>
  <c r="G25" i="148"/>
  <c r="G21" i="148"/>
  <c r="G148" i="148"/>
  <c r="G147" i="148" s="1"/>
  <c r="G146" i="148" s="1"/>
  <c r="G46" i="148"/>
  <c r="I642" i="148"/>
  <c r="I733" i="148" s="1"/>
  <c r="I734" i="148"/>
  <c r="K701" i="148"/>
  <c r="I722" i="148"/>
  <c r="L683" i="148"/>
  <c r="J420" i="148"/>
  <c r="J696" i="148"/>
  <c r="J598" i="148"/>
  <c r="K599" i="148"/>
  <c r="J638" i="148"/>
  <c r="J731" i="148" s="1"/>
  <c r="J732" i="148"/>
  <c r="I604" i="148"/>
  <c r="I725" i="148" s="1"/>
  <c r="I726" i="148"/>
  <c r="J718" i="148"/>
  <c r="I430" i="148"/>
  <c r="I699" i="148" s="1"/>
  <c r="I700" i="148"/>
  <c r="I419" i="148"/>
  <c r="I694" i="148" s="1"/>
  <c r="I695" i="148"/>
  <c r="K370" i="148"/>
  <c r="L371" i="148"/>
  <c r="H347" i="148"/>
  <c r="H682" i="148"/>
  <c r="I628" i="148"/>
  <c r="I730" i="148" s="1"/>
  <c r="I522" i="148"/>
  <c r="I710" i="148" s="1"/>
  <c r="J595" i="148"/>
  <c r="J724" i="148" s="1"/>
  <c r="J437" i="148"/>
  <c r="J501" i="148"/>
  <c r="I612" i="148"/>
  <c r="I727" i="148" s="1"/>
  <c r="I728" i="148"/>
  <c r="L489" i="148"/>
  <c r="L488" i="148" s="1"/>
  <c r="M490" i="148"/>
  <c r="J711" i="148"/>
  <c r="L397" i="148"/>
  <c r="L689" i="148" s="1"/>
  <c r="M398" i="148"/>
  <c r="H430" i="148"/>
  <c r="H699" i="148" s="1"/>
  <c r="H700" i="148"/>
  <c r="I411" i="148"/>
  <c r="I691" i="148" s="1"/>
  <c r="I692" i="148"/>
  <c r="I682" i="148"/>
  <c r="K672" i="148"/>
  <c r="K671" i="148" s="1"/>
  <c r="K739" i="148" s="1"/>
  <c r="L673" i="148"/>
  <c r="J666" i="148"/>
  <c r="K667" i="148"/>
  <c r="J649" i="148"/>
  <c r="J648" i="148" s="1"/>
  <c r="J735" i="148" s="1"/>
  <c r="K650" i="148"/>
  <c r="J644" i="148"/>
  <c r="J643" i="148" s="1"/>
  <c r="K645" i="148"/>
  <c r="J636" i="148"/>
  <c r="K637" i="148"/>
  <c r="J632" i="148"/>
  <c r="K633" i="148"/>
  <c r="K626" i="148"/>
  <c r="L627" i="148"/>
  <c r="J618" i="148"/>
  <c r="J613" i="148" s="1"/>
  <c r="K619" i="148"/>
  <c r="K614" i="148"/>
  <c r="L615" i="148"/>
  <c r="K602" i="148"/>
  <c r="L603" i="148"/>
  <c r="K706" i="148"/>
  <c r="L432" i="148"/>
  <c r="M433" i="148"/>
  <c r="J593" i="148"/>
  <c r="K594" i="148"/>
  <c r="J587" i="148"/>
  <c r="J586" i="148" s="1"/>
  <c r="J723" i="148" s="1"/>
  <c r="K588" i="148"/>
  <c r="J582" i="148"/>
  <c r="J581" i="148" s="1"/>
  <c r="K583" i="148"/>
  <c r="J573" i="148"/>
  <c r="J572" i="148" s="1"/>
  <c r="J719" i="148" s="1"/>
  <c r="K574" i="148"/>
  <c r="J556" i="148"/>
  <c r="J555" i="148" s="1"/>
  <c r="J716" i="148" s="1"/>
  <c r="K557" i="148"/>
  <c r="K545" i="148"/>
  <c r="K544" i="148" s="1"/>
  <c r="K714" i="148" s="1"/>
  <c r="L546" i="148"/>
  <c r="K533" i="148"/>
  <c r="K532" i="148" s="1"/>
  <c r="K712" i="148" s="1"/>
  <c r="L534" i="148"/>
  <c r="K524" i="148"/>
  <c r="L525" i="148"/>
  <c r="K510" i="148"/>
  <c r="L511" i="148"/>
  <c r="K474" i="148"/>
  <c r="L475" i="148"/>
  <c r="K447" i="148"/>
  <c r="L448" i="148"/>
  <c r="J520" i="148"/>
  <c r="J513" i="148" s="1"/>
  <c r="J709" i="148" s="1"/>
  <c r="K521" i="148"/>
  <c r="K468" i="148"/>
  <c r="K703" i="148" s="1"/>
  <c r="L469" i="148"/>
  <c r="M349" i="148"/>
  <c r="N350" i="148"/>
  <c r="K421" i="148"/>
  <c r="L422" i="148"/>
  <c r="J412" i="148"/>
  <c r="K413" i="148"/>
  <c r="K382" i="148"/>
  <c r="K687" i="148" s="1"/>
  <c r="L383" i="148"/>
  <c r="J669" i="148"/>
  <c r="K670" i="148"/>
  <c r="J657" i="148"/>
  <c r="J652" i="148" s="1"/>
  <c r="K658" i="148"/>
  <c r="K653" i="148"/>
  <c r="L654" i="148"/>
  <c r="K646" i="148"/>
  <c r="L647" i="148"/>
  <c r="K640" i="148"/>
  <c r="K639" i="148" s="1"/>
  <c r="L641" i="148"/>
  <c r="K634" i="148"/>
  <c r="L635" i="148"/>
  <c r="J629" i="148"/>
  <c r="J628" i="148" s="1"/>
  <c r="J730" i="148" s="1"/>
  <c r="K630" i="148"/>
  <c r="J622" i="148"/>
  <c r="J621" i="148" s="1"/>
  <c r="J729" i="148" s="1"/>
  <c r="K623" i="148"/>
  <c r="J606" i="148"/>
  <c r="J605" i="148" s="1"/>
  <c r="K607" i="148"/>
  <c r="K596" i="148"/>
  <c r="L597" i="148"/>
  <c r="K589" i="148"/>
  <c r="L590" i="148"/>
  <c r="K584" i="148"/>
  <c r="L585" i="148"/>
  <c r="J577" i="148"/>
  <c r="J576" i="148" s="1"/>
  <c r="J720" i="148" s="1"/>
  <c r="K578" i="148"/>
  <c r="K564" i="148"/>
  <c r="K563" i="148" s="1"/>
  <c r="L565" i="148"/>
  <c r="K551" i="148"/>
  <c r="K550" i="148" s="1"/>
  <c r="K715" i="148" s="1"/>
  <c r="L552" i="148"/>
  <c r="K539" i="148"/>
  <c r="K538" i="148" s="1"/>
  <c r="K713" i="148" s="1"/>
  <c r="L540" i="148"/>
  <c r="K529" i="148"/>
  <c r="L530" i="148"/>
  <c r="K514" i="148"/>
  <c r="L515" i="148"/>
  <c r="K492" i="148"/>
  <c r="L493" i="148"/>
  <c r="K482" i="148"/>
  <c r="L483" i="148"/>
  <c r="K460" i="148"/>
  <c r="L461" i="148"/>
  <c r="K438" i="148"/>
  <c r="L439" i="148"/>
  <c r="K508" i="148"/>
  <c r="K501" i="148" s="1"/>
  <c r="K708" i="148" s="1"/>
  <c r="L509" i="148"/>
  <c r="K427" i="148"/>
  <c r="K426" i="148" s="1"/>
  <c r="K698" i="148" s="1"/>
  <c r="L428" i="148"/>
  <c r="K424" i="148"/>
  <c r="K697" i="148" s="1"/>
  <c r="L425" i="148"/>
  <c r="K416" i="148"/>
  <c r="K693" i="148" s="1"/>
  <c r="L417" i="148"/>
  <c r="J404" i="148"/>
  <c r="J690" i="148" s="1"/>
  <c r="K405" i="148"/>
  <c r="O360" i="148"/>
  <c r="O684" i="148" s="1"/>
  <c r="P361" i="148"/>
  <c r="I586" i="148"/>
  <c r="I723" i="148" s="1"/>
  <c r="I652" i="148"/>
  <c r="I347" i="148" l="1"/>
  <c r="G56" i="148"/>
  <c r="G14" i="148"/>
  <c r="G36" i="148"/>
  <c r="G57" i="148"/>
  <c r="G11" i="148"/>
  <c r="G47" i="148"/>
  <c r="G71" i="148"/>
  <c r="G97" i="148"/>
  <c r="G119" i="148"/>
  <c r="G134" i="148"/>
  <c r="G155" i="148"/>
  <c r="G179" i="148"/>
  <c r="G178" i="148" s="1"/>
  <c r="G198" i="148"/>
  <c r="G210" i="148"/>
  <c r="G209" i="148" s="1"/>
  <c r="G208" i="148" s="1"/>
  <c r="G232" i="148"/>
  <c r="G231" i="148" s="1"/>
  <c r="G230" i="148" s="1"/>
  <c r="G261" i="148"/>
  <c r="G260" i="148" s="1"/>
  <c r="G299" i="148"/>
  <c r="G298" i="148" s="1"/>
  <c r="G297" i="148" s="1"/>
  <c r="G296" i="148" s="1"/>
  <c r="G282" i="148"/>
  <c r="G8" i="148"/>
  <c r="G27" i="148"/>
  <c r="G50" i="148"/>
  <c r="G72" i="148"/>
  <c r="G13" i="148"/>
  <c r="G49" i="148"/>
  <c r="G73" i="148"/>
  <c r="G98" i="148"/>
  <c r="G120" i="148"/>
  <c r="G135" i="148"/>
  <c r="G165" i="148"/>
  <c r="G192" i="148"/>
  <c r="G204" i="148"/>
  <c r="G325" i="148"/>
  <c r="G229" i="148"/>
  <c r="G255" i="148"/>
  <c r="G254" i="148" s="1"/>
  <c r="G293" i="148"/>
  <c r="G292" i="148" s="1"/>
  <c r="G331" i="148"/>
  <c r="G330" i="148" s="1"/>
  <c r="G329" i="148" s="1"/>
  <c r="G326" i="148"/>
  <c r="G291" i="148"/>
  <c r="G290" i="148" s="1"/>
  <c r="G268" i="148"/>
  <c r="G259" i="148"/>
  <c r="G249" i="148"/>
  <c r="G218" i="148"/>
  <c r="G212" i="148"/>
  <c r="G185" i="148"/>
  <c r="G176" i="148"/>
  <c r="G175" i="148" s="1"/>
  <c r="G158" i="148"/>
  <c r="G157" i="148" s="1"/>
  <c r="G129" i="148"/>
  <c r="G116" i="148"/>
  <c r="G112" i="148"/>
  <c r="G108" i="148"/>
  <c r="G86" i="148"/>
  <c r="G61" i="148"/>
  <c r="G41" i="148"/>
  <c r="G20" i="148"/>
  <c r="L505" i="148"/>
  <c r="M506" i="148"/>
  <c r="K517" i="148"/>
  <c r="L518" i="148"/>
  <c r="G163" i="148"/>
  <c r="G168" i="148"/>
  <c r="G301" i="148"/>
  <c r="G276" i="148"/>
  <c r="K499" i="148"/>
  <c r="L500" i="148"/>
  <c r="L502" i="148"/>
  <c r="M503" i="148"/>
  <c r="K491" i="148"/>
  <c r="K707" i="148" s="1"/>
  <c r="K437" i="148"/>
  <c r="K702" i="148" s="1"/>
  <c r="G29" i="148"/>
  <c r="G10" i="148"/>
  <c r="G30" i="148"/>
  <c r="G52" i="148"/>
  <c r="G154" i="148"/>
  <c r="G31" i="148"/>
  <c r="G65" i="148"/>
  <c r="G93" i="148"/>
  <c r="G103" i="148"/>
  <c r="G125" i="148"/>
  <c r="G151" i="148"/>
  <c r="G173" i="148"/>
  <c r="G172" i="148" s="1"/>
  <c r="G195" i="148"/>
  <c r="G207" i="148"/>
  <c r="G228" i="148"/>
  <c r="G252" i="148"/>
  <c r="G251" i="148" s="1"/>
  <c r="G289" i="148"/>
  <c r="G321" i="148"/>
  <c r="G322" i="148"/>
  <c r="G23" i="148"/>
  <c r="G39" i="148"/>
  <c r="G66" i="148"/>
  <c r="G9" i="148"/>
  <c r="G44" i="148"/>
  <c r="G67" i="148"/>
  <c r="G94" i="148"/>
  <c r="G90" i="148" s="1"/>
  <c r="G104" i="148"/>
  <c r="G133" i="148"/>
  <c r="G153" i="148"/>
  <c r="G188" i="148"/>
  <c r="G201" i="148"/>
  <c r="G281" i="148"/>
  <c r="G227" i="148"/>
  <c r="G246" i="148"/>
  <c r="G245" i="148" s="1"/>
  <c r="G288" i="148"/>
  <c r="G319" i="148"/>
  <c r="G320" i="148"/>
  <c r="G295" i="148"/>
  <c r="G294" i="148" s="1"/>
  <c r="G269" i="148"/>
  <c r="G265" i="148"/>
  <c r="G250" i="148"/>
  <c r="G219" i="148"/>
  <c r="G215" i="148"/>
  <c r="G186" i="148"/>
  <c r="G177" i="148"/>
  <c r="G161" i="148"/>
  <c r="G137" i="148"/>
  <c r="G117" i="148"/>
  <c r="G113" i="148"/>
  <c r="G109" i="148"/>
  <c r="G87" i="148"/>
  <c r="G75" i="148"/>
  <c r="G42" i="148"/>
  <c r="J737" i="148"/>
  <c r="J612" i="148"/>
  <c r="J727" i="148" s="1"/>
  <c r="J728" i="148"/>
  <c r="J411" i="148"/>
  <c r="J691" i="148" s="1"/>
  <c r="J692" i="148"/>
  <c r="K420" i="148"/>
  <c r="K696" i="148"/>
  <c r="P360" i="148"/>
  <c r="P684" i="148" s="1"/>
  <c r="Q361" i="148"/>
  <c r="K404" i="148"/>
  <c r="K690" i="148" s="1"/>
  <c r="L405" i="148"/>
  <c r="L416" i="148"/>
  <c r="L693" i="148" s="1"/>
  <c r="M417" i="148"/>
  <c r="L424" i="148"/>
  <c r="L697" i="148" s="1"/>
  <c r="M425" i="148"/>
  <c r="L427" i="148"/>
  <c r="L426" i="148" s="1"/>
  <c r="L698" i="148" s="1"/>
  <c r="M428" i="148"/>
  <c r="L508" i="148"/>
  <c r="M509" i="148"/>
  <c r="L438" i="148"/>
  <c r="M439" i="148"/>
  <c r="L460" i="148"/>
  <c r="M461" i="148"/>
  <c r="L482" i="148"/>
  <c r="M483" i="148"/>
  <c r="L492" i="148"/>
  <c r="M493" i="148"/>
  <c r="L514" i="148"/>
  <c r="M515" i="148"/>
  <c r="L529" i="148"/>
  <c r="M530" i="148"/>
  <c r="L539" i="148"/>
  <c r="L538" i="148" s="1"/>
  <c r="L713" i="148" s="1"/>
  <c r="M540" i="148"/>
  <c r="L551" i="148"/>
  <c r="L550" i="148" s="1"/>
  <c r="L715" i="148" s="1"/>
  <c r="M552" i="148"/>
  <c r="L564" i="148"/>
  <c r="L563" i="148" s="1"/>
  <c r="M565" i="148"/>
  <c r="K577" i="148"/>
  <c r="K576" i="148" s="1"/>
  <c r="K720" i="148" s="1"/>
  <c r="L578" i="148"/>
  <c r="L584" i="148"/>
  <c r="M585" i="148"/>
  <c r="L589" i="148"/>
  <c r="M590" i="148"/>
  <c r="L596" i="148"/>
  <c r="M597" i="148"/>
  <c r="K606" i="148"/>
  <c r="K605" i="148" s="1"/>
  <c r="L607" i="148"/>
  <c r="K622" i="148"/>
  <c r="K621" i="148" s="1"/>
  <c r="K729" i="148" s="1"/>
  <c r="L623" i="148"/>
  <c r="K629" i="148"/>
  <c r="L630" i="148"/>
  <c r="L634" i="148"/>
  <c r="M635" i="148"/>
  <c r="L640" i="148"/>
  <c r="L639" i="148" s="1"/>
  <c r="M641" i="148"/>
  <c r="L646" i="148"/>
  <c r="M647" i="148"/>
  <c r="L653" i="148"/>
  <c r="M654" i="148"/>
  <c r="K657" i="148"/>
  <c r="K652" i="148" s="1"/>
  <c r="L658" i="148"/>
  <c r="K669" i="148"/>
  <c r="L670" i="148"/>
  <c r="L382" i="148"/>
  <c r="L687" i="148" s="1"/>
  <c r="M383" i="148"/>
  <c r="K412" i="148"/>
  <c r="L413" i="148"/>
  <c r="L421" i="148"/>
  <c r="M422" i="148"/>
  <c r="N349" i="148"/>
  <c r="O350" i="148"/>
  <c r="L468" i="148"/>
  <c r="L703" i="148" s="1"/>
  <c r="M469" i="148"/>
  <c r="K520" i="148"/>
  <c r="L521" i="148"/>
  <c r="L447" i="148"/>
  <c r="M448" i="148"/>
  <c r="L474" i="148"/>
  <c r="L473" i="148" s="1"/>
  <c r="L472" i="148" s="1"/>
  <c r="L704" i="148" s="1"/>
  <c r="M475" i="148"/>
  <c r="L510" i="148"/>
  <c r="M511" i="148"/>
  <c r="L524" i="148"/>
  <c r="L523" i="148" s="1"/>
  <c r="M525" i="148"/>
  <c r="L533" i="148"/>
  <c r="L532" i="148" s="1"/>
  <c r="L712" i="148" s="1"/>
  <c r="M534" i="148"/>
  <c r="L545" i="148"/>
  <c r="L544" i="148" s="1"/>
  <c r="L714" i="148" s="1"/>
  <c r="M546" i="148"/>
  <c r="K556" i="148"/>
  <c r="K555" i="148" s="1"/>
  <c r="K716" i="148" s="1"/>
  <c r="L557" i="148"/>
  <c r="K573" i="148"/>
  <c r="K572" i="148" s="1"/>
  <c r="K719" i="148" s="1"/>
  <c r="L574" i="148"/>
  <c r="K582" i="148"/>
  <c r="K581" i="148" s="1"/>
  <c r="L583" i="148"/>
  <c r="K587" i="148"/>
  <c r="L588" i="148"/>
  <c r="K593" i="148"/>
  <c r="L594" i="148"/>
  <c r="M432" i="148"/>
  <c r="N433" i="148"/>
  <c r="M603" i="148"/>
  <c r="L602" i="148"/>
  <c r="L614" i="148"/>
  <c r="M615" i="148"/>
  <c r="K618" i="148"/>
  <c r="L619" i="148"/>
  <c r="L626" i="148"/>
  <c r="M627" i="148"/>
  <c r="K632" i="148"/>
  <c r="L633" i="148"/>
  <c r="K636" i="148"/>
  <c r="L637" i="148"/>
  <c r="K644" i="148"/>
  <c r="K643" i="148" s="1"/>
  <c r="L645" i="148"/>
  <c r="K649" i="148"/>
  <c r="K648" i="148" s="1"/>
  <c r="K735" i="148" s="1"/>
  <c r="L650" i="148"/>
  <c r="K666" i="148"/>
  <c r="L667" i="148"/>
  <c r="L672" i="148"/>
  <c r="L671" i="148" s="1"/>
  <c r="L739" i="148" s="1"/>
  <c r="M673" i="148"/>
  <c r="N398" i="148"/>
  <c r="M397" i="148"/>
  <c r="M689" i="148" s="1"/>
  <c r="N490" i="148"/>
  <c r="M489" i="148"/>
  <c r="M488" i="148" s="1"/>
  <c r="J708" i="148"/>
  <c r="J487" i="148"/>
  <c r="J705" i="148" s="1"/>
  <c r="M371" i="148"/>
  <c r="L370" i="148"/>
  <c r="K598" i="148"/>
  <c r="K595" i="148" s="1"/>
  <c r="K724" i="148" s="1"/>
  <c r="L599" i="148"/>
  <c r="K513" i="148"/>
  <c r="K709" i="148" s="1"/>
  <c r="K473" i="148"/>
  <c r="K472" i="148" s="1"/>
  <c r="K704" i="148" s="1"/>
  <c r="K523" i="148"/>
  <c r="J348" i="148"/>
  <c r="G45" i="148"/>
  <c r="G140" i="148"/>
  <c r="G150" i="148"/>
  <c r="G149" i="148" s="1"/>
  <c r="G145" i="148" s="1"/>
  <c r="G171" i="148"/>
  <c r="G132" i="148"/>
  <c r="G187" i="148"/>
  <c r="G280" i="148"/>
  <c r="G279" i="148" s="1"/>
  <c r="G222" i="148"/>
  <c r="G221" i="148" s="1"/>
  <c r="G220" i="148" s="1"/>
  <c r="G272" i="148"/>
  <c r="G271" i="148" s="1"/>
  <c r="G287" i="148"/>
  <c r="G286" i="148" s="1"/>
  <c r="G311" i="148"/>
  <c r="G264" i="148"/>
  <c r="G263" i="148" s="1"/>
  <c r="G262" i="148" s="1"/>
  <c r="G247" i="148"/>
  <c r="G244" i="148" s="1"/>
  <c r="G214" i="148"/>
  <c r="G213" i="148" s="1"/>
  <c r="G160" i="148"/>
  <c r="G159" i="148" s="1"/>
  <c r="G136" i="148"/>
  <c r="G74" i="148"/>
  <c r="G18" i="148"/>
  <c r="I651" i="148"/>
  <c r="I736" i="148" s="1"/>
  <c r="I737" i="148"/>
  <c r="K718" i="148"/>
  <c r="J604" i="148"/>
  <c r="J725" i="148" s="1"/>
  <c r="J726" i="148"/>
  <c r="K638" i="148"/>
  <c r="K731" i="148" s="1"/>
  <c r="K732" i="148"/>
  <c r="M683" i="148"/>
  <c r="J580" i="148"/>
  <c r="J721" i="148" s="1"/>
  <c r="J722" i="148"/>
  <c r="L701" i="148"/>
  <c r="J642" i="148"/>
  <c r="J733" i="148" s="1"/>
  <c r="J734" i="148"/>
  <c r="I681" i="148"/>
  <c r="L706" i="148"/>
  <c r="J702" i="148"/>
  <c r="J431" i="148"/>
  <c r="H346" i="148"/>
  <c r="H680" i="148" s="1"/>
  <c r="H681" i="148"/>
  <c r="K685" i="148"/>
  <c r="K348" i="148"/>
  <c r="J419" i="148"/>
  <c r="J694" i="148" s="1"/>
  <c r="J695" i="148"/>
  <c r="K613" i="148"/>
  <c r="J665" i="148"/>
  <c r="J738" i="148" s="1"/>
  <c r="J522" i="148"/>
  <c r="J710" i="148" s="1"/>
  <c r="J562" i="148"/>
  <c r="J717" i="148" s="1"/>
  <c r="I580" i="148"/>
  <c r="I721" i="148" s="1"/>
  <c r="K431" i="148"/>
  <c r="G7" i="148"/>
  <c r="G62" i="148"/>
  <c r="G191" i="148"/>
  <c r="G190" i="148" s="1"/>
  <c r="G203" i="148"/>
  <c r="G202" i="148" s="1"/>
  <c r="G253" i="148"/>
  <c r="G315" i="148"/>
  <c r="G300" i="148"/>
  <c r="G256" i="148"/>
  <c r="G239" i="148"/>
  <c r="G182" i="148"/>
  <c r="G181" i="148" s="1"/>
  <c r="G126" i="148"/>
  <c r="G105" i="148"/>
  <c r="G40" i="148"/>
  <c r="G28" i="148" l="1"/>
  <c r="G85" i="148"/>
  <c r="G84" i="148" s="1"/>
  <c r="G77" i="148" s="1"/>
  <c r="G70" i="148"/>
  <c r="G69" i="148" s="1"/>
  <c r="G35" i="148"/>
  <c r="G238" i="148"/>
  <c r="K665" i="148"/>
  <c r="K738" i="148" s="1"/>
  <c r="L499" i="148"/>
  <c r="M500" i="148"/>
  <c r="L517" i="148"/>
  <c r="M518" i="148"/>
  <c r="L491" i="148"/>
  <c r="L707" i="148" s="1"/>
  <c r="G197" i="148"/>
  <c r="G196" i="148" s="1"/>
  <c r="G118" i="148"/>
  <c r="G55" i="148"/>
  <c r="G6" i="148" s="1"/>
  <c r="G5" i="148" s="1"/>
  <c r="K487" i="148"/>
  <c r="K705" i="148" s="1"/>
  <c r="M502" i="148"/>
  <c r="N503" i="148"/>
  <c r="M505" i="148"/>
  <c r="N506" i="148"/>
  <c r="G324" i="148"/>
  <c r="G323" i="148" s="1"/>
  <c r="G96" i="148"/>
  <c r="G95" i="148" s="1"/>
  <c r="G89" i="148" s="1"/>
  <c r="K651" i="148"/>
  <c r="K736" i="148" s="1"/>
  <c r="K737" i="148"/>
  <c r="K728" i="148"/>
  <c r="J430" i="148"/>
  <c r="J699" i="148" s="1"/>
  <c r="J700" i="148"/>
  <c r="M370" i="148"/>
  <c r="N371" i="148"/>
  <c r="N489" i="148"/>
  <c r="N488" i="148" s="1"/>
  <c r="O490" i="148"/>
  <c r="N397" i="148"/>
  <c r="N689" i="148" s="1"/>
  <c r="O398" i="148"/>
  <c r="M602" i="148"/>
  <c r="N603" i="148"/>
  <c r="K722" i="148"/>
  <c r="L420" i="148"/>
  <c r="L696" i="148"/>
  <c r="L638" i="148"/>
  <c r="L731" i="148" s="1"/>
  <c r="L732" i="148"/>
  <c r="K604" i="148"/>
  <c r="K725" i="148" s="1"/>
  <c r="K726" i="148"/>
  <c r="L718" i="148"/>
  <c r="K419" i="148"/>
  <c r="K694" i="148" s="1"/>
  <c r="K695" i="148"/>
  <c r="G131" i="148"/>
  <c r="G130" i="148" s="1"/>
  <c r="K628" i="148"/>
  <c r="K730" i="148" s="1"/>
  <c r="L437" i="148"/>
  <c r="L501" i="148"/>
  <c r="J651" i="148"/>
  <c r="J736" i="148" s="1"/>
  <c r="K682" i="148"/>
  <c r="K642" i="148"/>
  <c r="K733" i="148" s="1"/>
  <c r="K734" i="148"/>
  <c r="M701" i="148"/>
  <c r="L711" i="148"/>
  <c r="N683" i="148"/>
  <c r="K411" i="148"/>
  <c r="K691" i="148" s="1"/>
  <c r="K692" i="148"/>
  <c r="K430" i="148"/>
  <c r="K699" i="148" s="1"/>
  <c r="K700" i="148"/>
  <c r="J347" i="148"/>
  <c r="J682" i="148"/>
  <c r="K522" i="148"/>
  <c r="K710" i="148" s="1"/>
  <c r="K711" i="148"/>
  <c r="L598" i="148"/>
  <c r="L595" i="148" s="1"/>
  <c r="L724" i="148" s="1"/>
  <c r="M599" i="148"/>
  <c r="L685" i="148"/>
  <c r="M706" i="148"/>
  <c r="M672" i="148"/>
  <c r="M671" i="148" s="1"/>
  <c r="M739" i="148" s="1"/>
  <c r="N673" i="148"/>
  <c r="L666" i="148"/>
  <c r="M667" i="148"/>
  <c r="L649" i="148"/>
  <c r="L648" i="148" s="1"/>
  <c r="L735" i="148" s="1"/>
  <c r="M650" i="148"/>
  <c r="L644" i="148"/>
  <c r="L643" i="148" s="1"/>
  <c r="M645" i="148"/>
  <c r="L636" i="148"/>
  <c r="M637" i="148"/>
  <c r="L632" i="148"/>
  <c r="M633" i="148"/>
  <c r="M626" i="148"/>
  <c r="N627" i="148"/>
  <c r="L618" i="148"/>
  <c r="L613" i="148" s="1"/>
  <c r="M619" i="148"/>
  <c r="M614" i="148"/>
  <c r="N615" i="148"/>
  <c r="N432" i="148"/>
  <c r="O433" i="148"/>
  <c r="L593" i="148"/>
  <c r="M594" i="148"/>
  <c r="L587" i="148"/>
  <c r="M588" i="148"/>
  <c r="L582" i="148"/>
  <c r="L581" i="148" s="1"/>
  <c r="M583" i="148"/>
  <c r="L573" i="148"/>
  <c r="L572" i="148" s="1"/>
  <c r="L719" i="148" s="1"/>
  <c r="M574" i="148"/>
  <c r="L556" i="148"/>
  <c r="L555" i="148" s="1"/>
  <c r="L716" i="148" s="1"/>
  <c r="M557" i="148"/>
  <c r="M545" i="148"/>
  <c r="M544" i="148" s="1"/>
  <c r="M714" i="148" s="1"/>
  <c r="N546" i="148"/>
  <c r="M533" i="148"/>
  <c r="M532" i="148" s="1"/>
  <c r="M712" i="148" s="1"/>
  <c r="N534" i="148"/>
  <c r="M524" i="148"/>
  <c r="N525" i="148"/>
  <c r="M510" i="148"/>
  <c r="N511" i="148"/>
  <c r="M474" i="148"/>
  <c r="N475" i="148"/>
  <c r="M447" i="148"/>
  <c r="N448" i="148"/>
  <c r="L520" i="148"/>
  <c r="M521" i="148"/>
  <c r="M468" i="148"/>
  <c r="M703" i="148" s="1"/>
  <c r="N469" i="148"/>
  <c r="O349" i="148"/>
  <c r="P350" i="148"/>
  <c r="M421" i="148"/>
  <c r="N422" i="148"/>
  <c r="L412" i="148"/>
  <c r="M413" i="148"/>
  <c r="M382" i="148"/>
  <c r="M687" i="148" s="1"/>
  <c r="N383" i="148"/>
  <c r="L669" i="148"/>
  <c r="M670" i="148"/>
  <c r="L657" i="148"/>
  <c r="L652" i="148" s="1"/>
  <c r="M658" i="148"/>
  <c r="M653" i="148"/>
  <c r="N654" i="148"/>
  <c r="M646" i="148"/>
  <c r="N647" i="148"/>
  <c r="M640" i="148"/>
  <c r="M639" i="148" s="1"/>
  <c r="N641" i="148"/>
  <c r="M634" i="148"/>
  <c r="N635" i="148"/>
  <c r="L629" i="148"/>
  <c r="M630" i="148"/>
  <c r="L622" i="148"/>
  <c r="L621" i="148" s="1"/>
  <c r="L729" i="148" s="1"/>
  <c r="M623" i="148"/>
  <c r="L606" i="148"/>
  <c r="L605" i="148" s="1"/>
  <c r="M607" i="148"/>
  <c r="M596" i="148"/>
  <c r="N597" i="148"/>
  <c r="M589" i="148"/>
  <c r="N590" i="148"/>
  <c r="M584" i="148"/>
  <c r="N585" i="148"/>
  <c r="L577" i="148"/>
  <c r="L576" i="148" s="1"/>
  <c r="L720" i="148" s="1"/>
  <c r="M578" i="148"/>
  <c r="M564" i="148"/>
  <c r="M563" i="148" s="1"/>
  <c r="N565" i="148"/>
  <c r="M551" i="148"/>
  <c r="M550" i="148" s="1"/>
  <c r="M715" i="148" s="1"/>
  <c r="N552" i="148"/>
  <c r="M539" i="148"/>
  <c r="M538" i="148" s="1"/>
  <c r="M713" i="148" s="1"/>
  <c r="N540" i="148"/>
  <c r="M529" i="148"/>
  <c r="N530" i="148"/>
  <c r="M514" i="148"/>
  <c r="N515" i="148"/>
  <c r="M492" i="148"/>
  <c r="N493" i="148"/>
  <c r="M482" i="148"/>
  <c r="N483" i="148"/>
  <c r="M460" i="148"/>
  <c r="N461" i="148"/>
  <c r="M438" i="148"/>
  <c r="M437" i="148" s="1"/>
  <c r="M702" i="148" s="1"/>
  <c r="N439" i="148"/>
  <c r="M508" i="148"/>
  <c r="N509" i="148"/>
  <c r="M427" i="148"/>
  <c r="M426" i="148" s="1"/>
  <c r="M698" i="148" s="1"/>
  <c r="N428" i="148"/>
  <c r="M424" i="148"/>
  <c r="M697" i="148" s="1"/>
  <c r="N425" i="148"/>
  <c r="M416" i="148"/>
  <c r="M693" i="148" s="1"/>
  <c r="N417" i="148"/>
  <c r="L404" i="148"/>
  <c r="L690" i="148" s="1"/>
  <c r="M405" i="148"/>
  <c r="Q360" i="148"/>
  <c r="Q684" i="148" s="1"/>
  <c r="R361" i="148"/>
  <c r="K586" i="148"/>
  <c r="K723" i="148" s="1"/>
  <c r="G180" i="148"/>
  <c r="I346" i="148"/>
  <c r="K562" i="148"/>
  <c r="K717" i="148" s="1"/>
  <c r="G310" i="148"/>
  <c r="G309" i="148" s="1"/>
  <c r="G270" i="148"/>
  <c r="M501" i="148" l="1"/>
  <c r="M708" i="148" s="1"/>
  <c r="L628" i="148"/>
  <c r="L730" i="148" s="1"/>
  <c r="L513" i="148"/>
  <c r="L709" i="148" s="1"/>
  <c r="L586" i="148"/>
  <c r="L723" i="148" s="1"/>
  <c r="N505" i="148"/>
  <c r="O506" i="148"/>
  <c r="G88" i="148"/>
  <c r="M517" i="148"/>
  <c r="N518" i="148"/>
  <c r="N502" i="148"/>
  <c r="O503" i="148"/>
  <c r="M499" i="148"/>
  <c r="M491" i="148" s="1"/>
  <c r="M707" i="148" s="1"/>
  <c r="N500" i="148"/>
  <c r="L737" i="148"/>
  <c r="L728" i="148"/>
  <c r="I343" i="148"/>
  <c r="I680" i="148"/>
  <c r="M718" i="148"/>
  <c r="L604" i="148"/>
  <c r="L725" i="148" s="1"/>
  <c r="L726" i="148"/>
  <c r="L411" i="148"/>
  <c r="L691" i="148" s="1"/>
  <c r="L692" i="148"/>
  <c r="M420" i="148"/>
  <c r="M696" i="148"/>
  <c r="R360" i="148"/>
  <c r="R684" i="148" s="1"/>
  <c r="S361" i="148"/>
  <c r="M404" i="148"/>
  <c r="M690" i="148" s="1"/>
  <c r="N405" i="148"/>
  <c r="N416" i="148"/>
  <c r="N693" i="148" s="1"/>
  <c r="O417" i="148"/>
  <c r="N424" i="148"/>
  <c r="N697" i="148" s="1"/>
  <c r="O425" i="148"/>
  <c r="N427" i="148"/>
  <c r="N426" i="148" s="1"/>
  <c r="N698" i="148" s="1"/>
  <c r="O428" i="148"/>
  <c r="N508" i="148"/>
  <c r="O509" i="148"/>
  <c r="N438" i="148"/>
  <c r="O439" i="148"/>
  <c r="N460" i="148"/>
  <c r="O461" i="148"/>
  <c r="N482" i="148"/>
  <c r="O483" i="148"/>
  <c r="N492" i="148"/>
  <c r="O493" i="148"/>
  <c r="N514" i="148"/>
  <c r="O515" i="148"/>
  <c r="N529" i="148"/>
  <c r="O530" i="148"/>
  <c r="N539" i="148"/>
  <c r="N538" i="148" s="1"/>
  <c r="N713" i="148" s="1"/>
  <c r="O540" i="148"/>
  <c r="N551" i="148"/>
  <c r="N550" i="148" s="1"/>
  <c r="N715" i="148" s="1"/>
  <c r="O552" i="148"/>
  <c r="N564" i="148"/>
  <c r="N563" i="148" s="1"/>
  <c r="O565" i="148"/>
  <c r="M577" i="148"/>
  <c r="M576" i="148" s="1"/>
  <c r="M720" i="148" s="1"/>
  <c r="N578" i="148"/>
  <c r="N584" i="148"/>
  <c r="O585" i="148"/>
  <c r="N589" i="148"/>
  <c r="O590" i="148"/>
  <c r="N596" i="148"/>
  <c r="O597" i="148"/>
  <c r="M606" i="148"/>
  <c r="M605" i="148" s="1"/>
  <c r="N607" i="148"/>
  <c r="M622" i="148"/>
  <c r="M621" i="148" s="1"/>
  <c r="M729" i="148" s="1"/>
  <c r="N623" i="148"/>
  <c r="M629" i="148"/>
  <c r="N630" i="148"/>
  <c r="N634" i="148"/>
  <c r="O635" i="148"/>
  <c r="N640" i="148"/>
  <c r="N639" i="148" s="1"/>
  <c r="O641" i="148"/>
  <c r="N646" i="148"/>
  <c r="O647" i="148"/>
  <c r="N653" i="148"/>
  <c r="O654" i="148"/>
  <c r="M657" i="148"/>
  <c r="M652" i="148" s="1"/>
  <c r="N658" i="148"/>
  <c r="M669" i="148"/>
  <c r="N670" i="148"/>
  <c r="N382" i="148"/>
  <c r="N687" i="148" s="1"/>
  <c r="O383" i="148"/>
  <c r="M412" i="148"/>
  <c r="N413" i="148"/>
  <c r="N421" i="148"/>
  <c r="O422" i="148"/>
  <c r="P349" i="148"/>
  <c r="Q350" i="148"/>
  <c r="N468" i="148"/>
  <c r="N703" i="148" s="1"/>
  <c r="O469" i="148"/>
  <c r="M520" i="148"/>
  <c r="M513" i="148" s="1"/>
  <c r="N521" i="148"/>
  <c r="N447" i="148"/>
  <c r="O448" i="148"/>
  <c r="N474" i="148"/>
  <c r="N473" i="148" s="1"/>
  <c r="N472" i="148" s="1"/>
  <c r="N704" i="148" s="1"/>
  <c r="O475" i="148"/>
  <c r="N510" i="148"/>
  <c r="O511" i="148"/>
  <c r="N524" i="148"/>
  <c r="N523" i="148" s="1"/>
  <c r="O525" i="148"/>
  <c r="N533" i="148"/>
  <c r="N532" i="148" s="1"/>
  <c r="N712" i="148" s="1"/>
  <c r="O534" i="148"/>
  <c r="N545" i="148"/>
  <c r="N544" i="148" s="1"/>
  <c r="N714" i="148" s="1"/>
  <c r="O546" i="148"/>
  <c r="M556" i="148"/>
  <c r="M555" i="148" s="1"/>
  <c r="M716" i="148" s="1"/>
  <c r="N557" i="148"/>
  <c r="M573" i="148"/>
  <c r="M572" i="148" s="1"/>
  <c r="M719" i="148" s="1"/>
  <c r="N574" i="148"/>
  <c r="M582" i="148"/>
  <c r="M581" i="148" s="1"/>
  <c r="N583" i="148"/>
  <c r="M587" i="148"/>
  <c r="N588" i="148"/>
  <c r="M593" i="148"/>
  <c r="N594" i="148"/>
  <c r="O432" i="148"/>
  <c r="P433" i="148"/>
  <c r="N614" i="148"/>
  <c r="O615" i="148"/>
  <c r="M618" i="148"/>
  <c r="M613" i="148" s="1"/>
  <c r="N619" i="148"/>
  <c r="N626" i="148"/>
  <c r="O627" i="148"/>
  <c r="M632" i="148"/>
  <c r="N633" i="148"/>
  <c r="M636" i="148"/>
  <c r="N637" i="148"/>
  <c r="M644" i="148"/>
  <c r="M643" i="148" s="1"/>
  <c r="N645" i="148"/>
  <c r="M649" i="148"/>
  <c r="M648" i="148" s="1"/>
  <c r="M735" i="148" s="1"/>
  <c r="N650" i="148"/>
  <c r="M666" i="148"/>
  <c r="M665" i="148" s="1"/>
  <c r="M738" i="148" s="1"/>
  <c r="N667" i="148"/>
  <c r="N672" i="148"/>
  <c r="N671" i="148" s="1"/>
  <c r="N739" i="148" s="1"/>
  <c r="O673" i="148"/>
  <c r="N599" i="148"/>
  <c r="M598" i="148"/>
  <c r="L702" i="148"/>
  <c r="L431" i="148"/>
  <c r="N602" i="148"/>
  <c r="O603" i="148"/>
  <c r="P398" i="148"/>
  <c r="O397" i="148"/>
  <c r="O689" i="148" s="1"/>
  <c r="P490" i="148"/>
  <c r="O489" i="148"/>
  <c r="O488" i="148" s="1"/>
  <c r="O371" i="148"/>
  <c r="N370" i="148"/>
  <c r="M473" i="148"/>
  <c r="M472" i="148" s="1"/>
  <c r="M704" i="148" s="1"/>
  <c r="M523" i="148"/>
  <c r="L348" i="148"/>
  <c r="M638" i="148"/>
  <c r="M731" i="148" s="1"/>
  <c r="M732" i="148"/>
  <c r="O683" i="148"/>
  <c r="L580" i="148"/>
  <c r="L721" i="148" s="1"/>
  <c r="L722" i="148"/>
  <c r="N701" i="148"/>
  <c r="L642" i="148"/>
  <c r="L733" i="148" s="1"/>
  <c r="L734" i="148"/>
  <c r="J346" i="148"/>
  <c r="J681" i="148"/>
  <c r="L708" i="148"/>
  <c r="L487" i="148"/>
  <c r="L705" i="148" s="1"/>
  <c r="L419" i="148"/>
  <c r="L694" i="148" s="1"/>
  <c r="L695" i="148"/>
  <c r="N706" i="148"/>
  <c r="M685" i="148"/>
  <c r="M595" i="148"/>
  <c r="M724" i="148" s="1"/>
  <c r="L665" i="148"/>
  <c r="L738" i="148" s="1"/>
  <c r="L522" i="148"/>
  <c r="L710" i="148" s="1"/>
  <c r="M431" i="148"/>
  <c r="K347" i="148"/>
  <c r="G332" i="148"/>
  <c r="L562" i="148"/>
  <c r="L717" i="148" s="1"/>
  <c r="K580" i="148"/>
  <c r="K721" i="148" s="1"/>
  <c r="K612" i="148"/>
  <c r="K727" i="148" s="1"/>
  <c r="M348" i="148" l="1"/>
  <c r="L612" i="148"/>
  <c r="L727" i="148" s="1"/>
  <c r="O502" i="148"/>
  <c r="P503" i="148"/>
  <c r="O505" i="148"/>
  <c r="P506" i="148"/>
  <c r="N499" i="148"/>
  <c r="O500" i="148"/>
  <c r="N517" i="148"/>
  <c r="O518" i="148"/>
  <c r="N491" i="148"/>
  <c r="N707" i="148" s="1"/>
  <c r="M709" i="148"/>
  <c r="M487" i="148"/>
  <c r="M705" i="148" s="1"/>
  <c r="M651" i="148"/>
  <c r="M736" i="148" s="1"/>
  <c r="M737" i="148"/>
  <c r="L347" i="148"/>
  <c r="L682" i="148"/>
  <c r="O370" i="148"/>
  <c r="P371" i="148"/>
  <c r="N598" i="148"/>
  <c r="O599" i="148"/>
  <c r="O701" i="148"/>
  <c r="N711" i="148"/>
  <c r="N420" i="148"/>
  <c r="N696" i="148"/>
  <c r="N638" i="148"/>
  <c r="N731" i="148" s="1"/>
  <c r="N732" i="148"/>
  <c r="N718" i="148"/>
  <c r="M419" i="148"/>
  <c r="M694" i="148" s="1"/>
  <c r="M695" i="148"/>
  <c r="M586" i="148"/>
  <c r="M723" i="148" s="1"/>
  <c r="N437" i="148"/>
  <c r="N501" i="148"/>
  <c r="M562" i="148"/>
  <c r="M717" i="148" s="1"/>
  <c r="L651" i="148"/>
  <c r="L736" i="148" s="1"/>
  <c r="M430" i="148"/>
  <c r="M699" i="148" s="1"/>
  <c r="M700" i="148"/>
  <c r="M728" i="148"/>
  <c r="M682" i="148"/>
  <c r="P489" i="148"/>
  <c r="P488" i="148" s="1"/>
  <c r="Q490" i="148"/>
  <c r="P397" i="148"/>
  <c r="P689" i="148" s="1"/>
  <c r="Q398" i="148"/>
  <c r="M642" i="148"/>
  <c r="M733" i="148" s="1"/>
  <c r="M734" i="148"/>
  <c r="M722" i="148"/>
  <c r="P683" i="148"/>
  <c r="M411" i="148"/>
  <c r="M691" i="148" s="1"/>
  <c r="M692" i="148"/>
  <c r="M604" i="148"/>
  <c r="M725" i="148" s="1"/>
  <c r="M726" i="148"/>
  <c r="K346" i="148"/>
  <c r="K681" i="148"/>
  <c r="J343" i="148"/>
  <c r="J680" i="148"/>
  <c r="M522" i="148"/>
  <c r="M710" i="148" s="1"/>
  <c r="M711" i="148"/>
  <c r="N685" i="148"/>
  <c r="O706" i="148"/>
  <c r="O602" i="148"/>
  <c r="P603" i="148"/>
  <c r="L430" i="148"/>
  <c r="L699" i="148" s="1"/>
  <c r="L700" i="148"/>
  <c r="O672" i="148"/>
  <c r="O671" i="148" s="1"/>
  <c r="O739" i="148" s="1"/>
  <c r="P673" i="148"/>
  <c r="N666" i="148"/>
  <c r="O667" i="148"/>
  <c r="N649" i="148"/>
  <c r="N648" i="148" s="1"/>
  <c r="N735" i="148" s="1"/>
  <c r="O650" i="148"/>
  <c r="N644" i="148"/>
  <c r="N643" i="148" s="1"/>
  <c r="O645" i="148"/>
  <c r="N636" i="148"/>
  <c r="O637" i="148"/>
  <c r="N632" i="148"/>
  <c r="O633" i="148"/>
  <c r="O626" i="148"/>
  <c r="P627" i="148"/>
  <c r="N618" i="148"/>
  <c r="O619" i="148"/>
  <c r="O614" i="148"/>
  <c r="P615" i="148"/>
  <c r="P432" i="148"/>
  <c r="Q433" i="148"/>
  <c r="N593" i="148"/>
  <c r="O594" i="148"/>
  <c r="N587" i="148"/>
  <c r="N586" i="148" s="1"/>
  <c r="N723" i="148" s="1"/>
  <c r="O588" i="148"/>
  <c r="N582" i="148"/>
  <c r="N581" i="148" s="1"/>
  <c r="O583" i="148"/>
  <c r="N573" i="148"/>
  <c r="N572" i="148" s="1"/>
  <c r="N719" i="148" s="1"/>
  <c r="O574" i="148"/>
  <c r="N556" i="148"/>
  <c r="N555" i="148" s="1"/>
  <c r="N716" i="148" s="1"/>
  <c r="O557" i="148"/>
  <c r="O545" i="148"/>
  <c r="O544" i="148" s="1"/>
  <c r="O714" i="148" s="1"/>
  <c r="P546" i="148"/>
  <c r="O533" i="148"/>
  <c r="O532" i="148" s="1"/>
  <c r="O712" i="148" s="1"/>
  <c r="P534" i="148"/>
  <c r="O524" i="148"/>
  <c r="P525" i="148"/>
  <c r="O510" i="148"/>
  <c r="P511" i="148"/>
  <c r="O474" i="148"/>
  <c r="P475" i="148"/>
  <c r="O447" i="148"/>
  <c r="P448" i="148"/>
  <c r="N520" i="148"/>
  <c r="N513" i="148" s="1"/>
  <c r="N709" i="148" s="1"/>
  <c r="O521" i="148"/>
  <c r="O468" i="148"/>
  <c r="O703" i="148" s="1"/>
  <c r="P469" i="148"/>
  <c r="Q349" i="148"/>
  <c r="R350" i="148"/>
  <c r="O421" i="148"/>
  <c r="P422" i="148"/>
  <c r="N412" i="148"/>
  <c r="O413" i="148"/>
  <c r="O382" i="148"/>
  <c r="O687" i="148" s="1"/>
  <c r="P383" i="148"/>
  <c r="N669" i="148"/>
  <c r="O670" i="148"/>
  <c r="N657" i="148"/>
  <c r="N652" i="148" s="1"/>
  <c r="O658" i="148"/>
  <c r="O653" i="148"/>
  <c r="P654" i="148"/>
  <c r="O646" i="148"/>
  <c r="P647" i="148"/>
  <c r="O640" i="148"/>
  <c r="O639" i="148" s="1"/>
  <c r="P641" i="148"/>
  <c r="O634" i="148"/>
  <c r="P635" i="148"/>
  <c r="N629" i="148"/>
  <c r="N628" i="148" s="1"/>
  <c r="N730" i="148" s="1"/>
  <c r="O630" i="148"/>
  <c r="N622" i="148"/>
  <c r="N621" i="148" s="1"/>
  <c r="N729" i="148" s="1"/>
  <c r="O623" i="148"/>
  <c r="N606" i="148"/>
  <c r="N605" i="148" s="1"/>
  <c r="O607" i="148"/>
  <c r="O596" i="148"/>
  <c r="P597" i="148"/>
  <c r="O589" i="148"/>
  <c r="P590" i="148"/>
  <c r="O584" i="148"/>
  <c r="P585" i="148"/>
  <c r="N577" i="148"/>
  <c r="N576" i="148" s="1"/>
  <c r="N720" i="148" s="1"/>
  <c r="O578" i="148"/>
  <c r="O564" i="148"/>
  <c r="O563" i="148" s="1"/>
  <c r="P565" i="148"/>
  <c r="O551" i="148"/>
  <c r="O550" i="148" s="1"/>
  <c r="O715" i="148" s="1"/>
  <c r="P552" i="148"/>
  <c r="O539" i="148"/>
  <c r="O538" i="148" s="1"/>
  <c r="O713" i="148" s="1"/>
  <c r="P540" i="148"/>
  <c r="O529" i="148"/>
  <c r="P530" i="148"/>
  <c r="O514" i="148"/>
  <c r="P515" i="148"/>
  <c r="O492" i="148"/>
  <c r="P493" i="148"/>
  <c r="O482" i="148"/>
  <c r="P483" i="148"/>
  <c r="O460" i="148"/>
  <c r="P461" i="148"/>
  <c r="O438" i="148"/>
  <c r="P439" i="148"/>
  <c r="O508" i="148"/>
  <c r="O501" i="148" s="1"/>
  <c r="O708" i="148" s="1"/>
  <c r="P509" i="148"/>
  <c r="O427" i="148"/>
  <c r="O426" i="148" s="1"/>
  <c r="O698" i="148" s="1"/>
  <c r="P428" i="148"/>
  <c r="O424" i="148"/>
  <c r="O697" i="148" s="1"/>
  <c r="P425" i="148"/>
  <c r="O416" i="148"/>
  <c r="O693" i="148" s="1"/>
  <c r="P417" i="148"/>
  <c r="N404" i="148"/>
  <c r="N690" i="148" s="1"/>
  <c r="O405" i="148"/>
  <c r="S360" i="148"/>
  <c r="S684" i="148" s="1"/>
  <c r="T361" i="148"/>
  <c r="N613" i="148"/>
  <c r="M628" i="148"/>
  <c r="M730" i="148" s="1"/>
  <c r="N595" i="148"/>
  <c r="N724" i="148" s="1"/>
  <c r="O499" i="148" l="1"/>
  <c r="P500" i="148"/>
  <c r="P502" i="148"/>
  <c r="Q503" i="148"/>
  <c r="O491" i="148"/>
  <c r="O707" i="148" s="1"/>
  <c r="M580" i="148"/>
  <c r="M721" i="148" s="1"/>
  <c r="O517" i="148"/>
  <c r="P518" i="148"/>
  <c r="P505" i="148"/>
  <c r="Q506" i="148"/>
  <c r="O437" i="148"/>
  <c r="O702" i="148" s="1"/>
  <c r="N737" i="148"/>
  <c r="N411" i="148"/>
  <c r="N691" i="148" s="1"/>
  <c r="N692" i="148"/>
  <c r="O420" i="148"/>
  <c r="O696" i="148"/>
  <c r="N580" i="148"/>
  <c r="N721" i="148" s="1"/>
  <c r="N722" i="148"/>
  <c r="P701" i="148"/>
  <c r="N642" i="148"/>
  <c r="N733" i="148" s="1"/>
  <c r="N734" i="148"/>
  <c r="K343" i="148"/>
  <c r="K680" i="148"/>
  <c r="P706" i="148"/>
  <c r="N708" i="148"/>
  <c r="N487" i="148"/>
  <c r="N705" i="148" s="1"/>
  <c r="N419" i="148"/>
  <c r="N694" i="148" s="1"/>
  <c r="N695" i="148"/>
  <c r="O685" i="148"/>
  <c r="L346" i="148"/>
  <c r="L681" i="148"/>
  <c r="O473" i="148"/>
  <c r="O472" i="148" s="1"/>
  <c r="O704" i="148" s="1"/>
  <c r="O523" i="148"/>
  <c r="N665" i="148"/>
  <c r="N738" i="148" s="1"/>
  <c r="M347" i="148"/>
  <c r="M612" i="148"/>
  <c r="M727" i="148" s="1"/>
  <c r="N562" i="148"/>
  <c r="N717" i="148" s="1"/>
  <c r="N522" i="148"/>
  <c r="N710" i="148" s="1"/>
  <c r="O431" i="148"/>
  <c r="N612" i="148"/>
  <c r="N727" i="148" s="1"/>
  <c r="N728" i="148"/>
  <c r="O718" i="148"/>
  <c r="N604" i="148"/>
  <c r="N725" i="148" s="1"/>
  <c r="N726" i="148"/>
  <c r="O638" i="148"/>
  <c r="O731" i="148" s="1"/>
  <c r="O732" i="148"/>
  <c r="Q683" i="148"/>
  <c r="T360" i="148"/>
  <c r="T684" i="148" s="1"/>
  <c r="U361" i="148"/>
  <c r="O404" i="148"/>
  <c r="O690" i="148" s="1"/>
  <c r="P405" i="148"/>
  <c r="P416" i="148"/>
  <c r="P693" i="148" s="1"/>
  <c r="Q417" i="148"/>
  <c r="P424" i="148"/>
  <c r="P697" i="148" s="1"/>
  <c r="Q425" i="148"/>
  <c r="P427" i="148"/>
  <c r="P426" i="148" s="1"/>
  <c r="P698" i="148" s="1"/>
  <c r="Q428" i="148"/>
  <c r="P508" i="148"/>
  <c r="Q509" i="148"/>
  <c r="P438" i="148"/>
  <c r="Q439" i="148"/>
  <c r="P460" i="148"/>
  <c r="Q461" i="148"/>
  <c r="P482" i="148"/>
  <c r="Q483" i="148"/>
  <c r="P492" i="148"/>
  <c r="Q493" i="148"/>
  <c r="P514" i="148"/>
  <c r="Q515" i="148"/>
  <c r="P529" i="148"/>
  <c r="Q530" i="148"/>
  <c r="P539" i="148"/>
  <c r="P538" i="148" s="1"/>
  <c r="P713" i="148" s="1"/>
  <c r="Q540" i="148"/>
  <c r="P551" i="148"/>
  <c r="P550" i="148" s="1"/>
  <c r="P715" i="148" s="1"/>
  <c r="Q552" i="148"/>
  <c r="P564" i="148"/>
  <c r="P563" i="148" s="1"/>
  <c r="Q565" i="148"/>
  <c r="O577" i="148"/>
  <c r="O576" i="148" s="1"/>
  <c r="O720" i="148" s="1"/>
  <c r="P578" i="148"/>
  <c r="P584" i="148"/>
  <c r="Q585" i="148"/>
  <c r="P589" i="148"/>
  <c r="Q590" i="148"/>
  <c r="P596" i="148"/>
  <c r="Q597" i="148"/>
  <c r="O606" i="148"/>
  <c r="O605" i="148" s="1"/>
  <c r="P607" i="148"/>
  <c r="O622" i="148"/>
  <c r="O621" i="148" s="1"/>
  <c r="O729" i="148" s="1"/>
  <c r="P623" i="148"/>
  <c r="O629" i="148"/>
  <c r="P630" i="148"/>
  <c r="P634" i="148"/>
  <c r="Q635" i="148"/>
  <c r="P640" i="148"/>
  <c r="P639" i="148" s="1"/>
  <c r="Q641" i="148"/>
  <c r="P646" i="148"/>
  <c r="Q647" i="148"/>
  <c r="P653" i="148"/>
  <c r="Q654" i="148"/>
  <c r="O657" i="148"/>
  <c r="P658" i="148"/>
  <c r="O669" i="148"/>
  <c r="P670" i="148"/>
  <c r="P382" i="148"/>
  <c r="P687" i="148" s="1"/>
  <c r="Q383" i="148"/>
  <c r="O412" i="148"/>
  <c r="P413" i="148"/>
  <c r="P421" i="148"/>
  <c r="Q422" i="148"/>
  <c r="R349" i="148"/>
  <c r="S350" i="148"/>
  <c r="P468" i="148"/>
  <c r="P703" i="148" s="1"/>
  <c r="Q469" i="148"/>
  <c r="O520" i="148"/>
  <c r="O513" i="148" s="1"/>
  <c r="P521" i="148"/>
  <c r="P447" i="148"/>
  <c r="Q448" i="148"/>
  <c r="P474" i="148"/>
  <c r="P473" i="148" s="1"/>
  <c r="P472" i="148" s="1"/>
  <c r="P704" i="148" s="1"/>
  <c r="Q475" i="148"/>
  <c r="P510" i="148"/>
  <c r="Q511" i="148"/>
  <c r="P524" i="148"/>
  <c r="P523" i="148" s="1"/>
  <c r="Q525" i="148"/>
  <c r="P533" i="148"/>
  <c r="P532" i="148" s="1"/>
  <c r="P712" i="148" s="1"/>
  <c r="Q534" i="148"/>
  <c r="P545" i="148"/>
  <c r="P544" i="148" s="1"/>
  <c r="P714" i="148" s="1"/>
  <c r="Q546" i="148"/>
  <c r="O556" i="148"/>
  <c r="O555" i="148" s="1"/>
  <c r="O716" i="148" s="1"/>
  <c r="P557" i="148"/>
  <c r="O573" i="148"/>
  <c r="O572" i="148" s="1"/>
  <c r="O719" i="148" s="1"/>
  <c r="P574" i="148"/>
  <c r="O582" i="148"/>
  <c r="O581" i="148" s="1"/>
  <c r="P583" i="148"/>
  <c r="O587" i="148"/>
  <c r="P588" i="148"/>
  <c r="O593" i="148"/>
  <c r="P594" i="148"/>
  <c r="Q432" i="148"/>
  <c r="R433" i="148"/>
  <c r="P614" i="148"/>
  <c r="Q615" i="148"/>
  <c r="O618" i="148"/>
  <c r="O613" i="148" s="1"/>
  <c r="P619" i="148"/>
  <c r="P626" i="148"/>
  <c r="Q627" i="148"/>
  <c r="O632" i="148"/>
  <c r="P633" i="148"/>
  <c r="O636" i="148"/>
  <c r="P637" i="148"/>
  <c r="O644" i="148"/>
  <c r="O643" i="148" s="1"/>
  <c r="P645" i="148"/>
  <c r="O649" i="148"/>
  <c r="O648" i="148" s="1"/>
  <c r="O735" i="148" s="1"/>
  <c r="P650" i="148"/>
  <c r="O666" i="148"/>
  <c r="O665" i="148" s="1"/>
  <c r="O738" i="148" s="1"/>
  <c r="P667" i="148"/>
  <c r="P672" i="148"/>
  <c r="P671" i="148" s="1"/>
  <c r="P739" i="148" s="1"/>
  <c r="Q673" i="148"/>
  <c r="Q603" i="148"/>
  <c r="P602" i="148"/>
  <c r="R398" i="148"/>
  <c r="Q397" i="148"/>
  <c r="Q689" i="148" s="1"/>
  <c r="R490" i="148"/>
  <c r="Q489" i="148"/>
  <c r="Q488" i="148" s="1"/>
  <c r="N702" i="148"/>
  <c r="N431" i="148"/>
  <c r="O598" i="148"/>
  <c r="O595" i="148" s="1"/>
  <c r="O724" i="148" s="1"/>
  <c r="P599" i="148"/>
  <c r="Q371" i="148"/>
  <c r="P370" i="148"/>
  <c r="O652" i="148"/>
  <c r="N348" i="148"/>
  <c r="P517" i="148" l="1"/>
  <c r="Q518" i="148"/>
  <c r="Q502" i="148"/>
  <c r="R503" i="148"/>
  <c r="Q505" i="148"/>
  <c r="R506" i="148"/>
  <c r="P499" i="148"/>
  <c r="P491" i="148" s="1"/>
  <c r="P707" i="148" s="1"/>
  <c r="Q500" i="148"/>
  <c r="O586" i="148"/>
  <c r="O723" i="148" s="1"/>
  <c r="O709" i="148"/>
  <c r="O487" i="148"/>
  <c r="O705" i="148" s="1"/>
  <c r="O728" i="148"/>
  <c r="N347" i="148"/>
  <c r="N682" i="148"/>
  <c r="O651" i="148"/>
  <c r="O736" i="148" s="1"/>
  <c r="O737" i="148"/>
  <c r="Q370" i="148"/>
  <c r="R371" i="148"/>
  <c r="R489" i="148"/>
  <c r="R488" i="148" s="1"/>
  <c r="S490" i="148"/>
  <c r="O642" i="148"/>
  <c r="O733" i="148" s="1"/>
  <c r="O734" i="148"/>
  <c r="P711" i="148"/>
  <c r="R683" i="148"/>
  <c r="O411" i="148"/>
  <c r="O691" i="148" s="1"/>
  <c r="O692" i="148"/>
  <c r="O604" i="148"/>
  <c r="O725" i="148" s="1"/>
  <c r="O726" i="148"/>
  <c r="P718" i="148"/>
  <c r="O522" i="148"/>
  <c r="O710" i="148" s="1"/>
  <c r="O711" i="148"/>
  <c r="O628" i="148"/>
  <c r="O730" i="148" s="1"/>
  <c r="P437" i="148"/>
  <c r="P501" i="148"/>
  <c r="P708" i="148" s="1"/>
  <c r="O562" i="148"/>
  <c r="O717" i="148" s="1"/>
  <c r="O348" i="148"/>
  <c r="N651" i="148"/>
  <c r="N736" i="148" s="1"/>
  <c r="R397" i="148"/>
  <c r="R689" i="148" s="1"/>
  <c r="S398" i="148"/>
  <c r="Q602" i="148"/>
  <c r="R603" i="148"/>
  <c r="Q701" i="148"/>
  <c r="O580" i="148"/>
  <c r="O721" i="148" s="1"/>
  <c r="O722" i="148"/>
  <c r="P420" i="148"/>
  <c r="P696" i="148"/>
  <c r="P638" i="148"/>
  <c r="P731" i="148" s="1"/>
  <c r="P732" i="148"/>
  <c r="P685" i="148"/>
  <c r="P598" i="148"/>
  <c r="P595" i="148" s="1"/>
  <c r="P724" i="148" s="1"/>
  <c r="Q599" i="148"/>
  <c r="N430" i="148"/>
  <c r="N699" i="148" s="1"/>
  <c r="N700" i="148"/>
  <c r="Q706" i="148"/>
  <c r="Q672" i="148"/>
  <c r="Q671" i="148" s="1"/>
  <c r="Q739" i="148" s="1"/>
  <c r="R673" i="148"/>
  <c r="P666" i="148"/>
  <c r="Q667" i="148"/>
  <c r="P649" i="148"/>
  <c r="P648" i="148" s="1"/>
  <c r="P735" i="148" s="1"/>
  <c r="Q650" i="148"/>
  <c r="P644" i="148"/>
  <c r="P643" i="148" s="1"/>
  <c r="Q645" i="148"/>
  <c r="P636" i="148"/>
  <c r="Q637" i="148"/>
  <c r="P632" i="148"/>
  <c r="Q633" i="148"/>
  <c r="Q626" i="148"/>
  <c r="R627" i="148"/>
  <c r="P618" i="148"/>
  <c r="P613" i="148" s="1"/>
  <c r="Q619" i="148"/>
  <c r="Q614" i="148"/>
  <c r="R615" i="148"/>
  <c r="R432" i="148"/>
  <c r="S433" i="148"/>
  <c r="P593" i="148"/>
  <c r="Q594" i="148"/>
  <c r="P587" i="148"/>
  <c r="Q588" i="148"/>
  <c r="P582" i="148"/>
  <c r="P581" i="148" s="1"/>
  <c r="Q583" i="148"/>
  <c r="P573" i="148"/>
  <c r="P572" i="148" s="1"/>
  <c r="P719" i="148" s="1"/>
  <c r="Q574" i="148"/>
  <c r="P556" i="148"/>
  <c r="P555" i="148" s="1"/>
  <c r="P716" i="148" s="1"/>
  <c r="Q557" i="148"/>
  <c r="Q545" i="148"/>
  <c r="Q544" i="148" s="1"/>
  <c r="Q714" i="148" s="1"/>
  <c r="R546" i="148"/>
  <c r="Q533" i="148"/>
  <c r="Q532" i="148" s="1"/>
  <c r="Q712" i="148" s="1"/>
  <c r="R534" i="148"/>
  <c r="Q524" i="148"/>
  <c r="R525" i="148"/>
  <c r="Q510" i="148"/>
  <c r="R511" i="148"/>
  <c r="Q474" i="148"/>
  <c r="R475" i="148"/>
  <c r="Q447" i="148"/>
  <c r="R448" i="148"/>
  <c r="P520" i="148"/>
  <c r="P513" i="148" s="1"/>
  <c r="Q521" i="148"/>
  <c r="Q468" i="148"/>
  <c r="Q703" i="148" s="1"/>
  <c r="R469" i="148"/>
  <c r="S349" i="148"/>
  <c r="T350" i="148"/>
  <c r="Q421" i="148"/>
  <c r="R422" i="148"/>
  <c r="P412" i="148"/>
  <c r="Q413" i="148"/>
  <c r="Q382" i="148"/>
  <c r="Q687" i="148" s="1"/>
  <c r="R383" i="148"/>
  <c r="P669" i="148"/>
  <c r="Q670" i="148"/>
  <c r="P657" i="148"/>
  <c r="P652" i="148" s="1"/>
  <c r="Q658" i="148"/>
  <c r="Q653" i="148"/>
  <c r="R654" i="148"/>
  <c r="Q646" i="148"/>
  <c r="R647" i="148"/>
  <c r="Q640" i="148"/>
  <c r="Q639" i="148" s="1"/>
  <c r="R641" i="148"/>
  <c r="Q634" i="148"/>
  <c r="R635" i="148"/>
  <c r="P629" i="148"/>
  <c r="Q630" i="148"/>
  <c r="P622" i="148"/>
  <c r="P621" i="148" s="1"/>
  <c r="P729" i="148" s="1"/>
  <c r="Q623" i="148"/>
  <c r="P606" i="148"/>
  <c r="P605" i="148" s="1"/>
  <c r="Q607" i="148"/>
  <c r="Q596" i="148"/>
  <c r="R597" i="148"/>
  <c r="Q589" i="148"/>
  <c r="R590" i="148"/>
  <c r="Q584" i="148"/>
  <c r="R585" i="148"/>
  <c r="P577" i="148"/>
  <c r="P576" i="148" s="1"/>
  <c r="P720" i="148" s="1"/>
  <c r="Q578" i="148"/>
  <c r="Q564" i="148"/>
  <c r="Q563" i="148" s="1"/>
  <c r="R565" i="148"/>
  <c r="Q551" i="148"/>
  <c r="Q550" i="148" s="1"/>
  <c r="Q715" i="148" s="1"/>
  <c r="R552" i="148"/>
  <c r="Q539" i="148"/>
  <c r="Q538" i="148" s="1"/>
  <c r="Q713" i="148" s="1"/>
  <c r="R540" i="148"/>
  <c r="Q529" i="148"/>
  <c r="R530" i="148"/>
  <c r="Q514" i="148"/>
  <c r="R515" i="148"/>
  <c r="Q492" i="148"/>
  <c r="R493" i="148"/>
  <c r="Q482" i="148"/>
  <c r="R483" i="148"/>
  <c r="Q460" i="148"/>
  <c r="R461" i="148"/>
  <c r="Q438" i="148"/>
  <c r="Q437" i="148" s="1"/>
  <c r="Q702" i="148" s="1"/>
  <c r="R439" i="148"/>
  <c r="Q508" i="148"/>
  <c r="R509" i="148"/>
  <c r="Q427" i="148"/>
  <c r="Q426" i="148" s="1"/>
  <c r="Q698" i="148" s="1"/>
  <c r="R428" i="148"/>
  <c r="Q424" i="148"/>
  <c r="Q697" i="148" s="1"/>
  <c r="R425" i="148"/>
  <c r="Q416" i="148"/>
  <c r="Q693" i="148" s="1"/>
  <c r="R417" i="148"/>
  <c r="P404" i="148"/>
  <c r="P690" i="148" s="1"/>
  <c r="Q405" i="148"/>
  <c r="U360" i="148"/>
  <c r="U684" i="148" s="1"/>
  <c r="V361" i="148"/>
  <c r="O430" i="148"/>
  <c r="O699" i="148" s="1"/>
  <c r="O700" i="148"/>
  <c r="M346" i="148"/>
  <c r="M681" i="148"/>
  <c r="L343" i="148"/>
  <c r="L680" i="148"/>
  <c r="O419" i="148"/>
  <c r="O694" i="148" s="1"/>
  <c r="O695" i="148"/>
  <c r="R505" i="148" l="1"/>
  <c r="S506" i="148"/>
  <c r="R502" i="148"/>
  <c r="S503" i="148"/>
  <c r="P586" i="148"/>
  <c r="P723" i="148" s="1"/>
  <c r="Q517" i="148"/>
  <c r="R518" i="148"/>
  <c r="Q501" i="148"/>
  <c r="Q708" i="148" s="1"/>
  <c r="Q491" i="148"/>
  <c r="Q707" i="148" s="1"/>
  <c r="P628" i="148"/>
  <c r="P730" i="148" s="1"/>
  <c r="Q499" i="148"/>
  <c r="R500" i="148"/>
  <c r="P709" i="148"/>
  <c r="P487" i="148"/>
  <c r="P705" i="148" s="1"/>
  <c r="P728" i="148"/>
  <c r="P737" i="148"/>
  <c r="S683" i="148"/>
  <c r="P580" i="148"/>
  <c r="P721" i="148" s="1"/>
  <c r="P722" i="148"/>
  <c r="R701" i="148"/>
  <c r="P642" i="148"/>
  <c r="P733" i="148" s="1"/>
  <c r="P734" i="148"/>
  <c r="P419" i="148"/>
  <c r="P694" i="148" s="1"/>
  <c r="P695" i="148"/>
  <c r="O347" i="148"/>
  <c r="O682" i="148"/>
  <c r="T490" i="148"/>
  <c r="S489" i="148"/>
  <c r="S488" i="148" s="1"/>
  <c r="S371" i="148"/>
  <c r="R370" i="148"/>
  <c r="P665" i="148"/>
  <c r="P738" i="148" s="1"/>
  <c r="Q431" i="148"/>
  <c r="M343" i="148"/>
  <c r="M680" i="148"/>
  <c r="Q718" i="148"/>
  <c r="P604" i="148"/>
  <c r="P725" i="148" s="1"/>
  <c r="P726" i="148"/>
  <c r="Q638" i="148"/>
  <c r="Q731" i="148" s="1"/>
  <c r="Q732" i="148"/>
  <c r="P411" i="148"/>
  <c r="P691" i="148" s="1"/>
  <c r="P692" i="148"/>
  <c r="Q420" i="148"/>
  <c r="Q696" i="148"/>
  <c r="V360" i="148"/>
  <c r="V684" i="148" s="1"/>
  <c r="W361" i="148"/>
  <c r="Q404" i="148"/>
  <c r="Q690" i="148" s="1"/>
  <c r="R405" i="148"/>
  <c r="R416" i="148"/>
  <c r="R693" i="148" s="1"/>
  <c r="S417" i="148"/>
  <c r="R424" i="148"/>
  <c r="R697" i="148" s="1"/>
  <c r="S425" i="148"/>
  <c r="R427" i="148"/>
  <c r="R426" i="148" s="1"/>
  <c r="R698" i="148" s="1"/>
  <c r="S428" i="148"/>
  <c r="R508" i="148"/>
  <c r="S509" i="148"/>
  <c r="R438" i="148"/>
  <c r="S439" i="148"/>
  <c r="R460" i="148"/>
  <c r="S461" i="148"/>
  <c r="R482" i="148"/>
  <c r="S483" i="148"/>
  <c r="R492" i="148"/>
  <c r="S493" i="148"/>
  <c r="R514" i="148"/>
  <c r="S515" i="148"/>
  <c r="R529" i="148"/>
  <c r="S530" i="148"/>
  <c r="R539" i="148"/>
  <c r="R538" i="148" s="1"/>
  <c r="R713" i="148" s="1"/>
  <c r="S540" i="148"/>
  <c r="R551" i="148"/>
  <c r="R550" i="148" s="1"/>
  <c r="R715" i="148" s="1"/>
  <c r="S552" i="148"/>
  <c r="R564" i="148"/>
  <c r="R563" i="148" s="1"/>
  <c r="S565" i="148"/>
  <c r="Q577" i="148"/>
  <c r="Q576" i="148" s="1"/>
  <c r="Q720" i="148" s="1"/>
  <c r="R578" i="148"/>
  <c r="R584" i="148"/>
  <c r="S585" i="148"/>
  <c r="R589" i="148"/>
  <c r="S590" i="148"/>
  <c r="R596" i="148"/>
  <c r="S597" i="148"/>
  <c r="Q606" i="148"/>
  <c r="Q605" i="148" s="1"/>
  <c r="R607" i="148"/>
  <c r="Q622" i="148"/>
  <c r="Q621" i="148" s="1"/>
  <c r="Q729" i="148" s="1"/>
  <c r="R623" i="148"/>
  <c r="Q629" i="148"/>
  <c r="R630" i="148"/>
  <c r="R634" i="148"/>
  <c r="S635" i="148"/>
  <c r="R640" i="148"/>
  <c r="R639" i="148" s="1"/>
  <c r="S641" i="148"/>
  <c r="R646" i="148"/>
  <c r="S647" i="148"/>
  <c r="R653" i="148"/>
  <c r="S654" i="148"/>
  <c r="Q657" i="148"/>
  <c r="R658" i="148"/>
  <c r="Q669" i="148"/>
  <c r="R670" i="148"/>
  <c r="R382" i="148"/>
  <c r="R687" i="148" s="1"/>
  <c r="S383" i="148"/>
  <c r="Q412" i="148"/>
  <c r="R413" i="148"/>
  <c r="R421" i="148"/>
  <c r="S422" i="148"/>
  <c r="T349" i="148"/>
  <c r="U350" i="148"/>
  <c r="R468" i="148"/>
  <c r="R703" i="148" s="1"/>
  <c r="S469" i="148"/>
  <c r="Q520" i="148"/>
  <c r="Q513" i="148" s="1"/>
  <c r="R521" i="148"/>
  <c r="R447" i="148"/>
  <c r="S448" i="148"/>
  <c r="R474" i="148"/>
  <c r="R473" i="148" s="1"/>
  <c r="R472" i="148" s="1"/>
  <c r="R704" i="148" s="1"/>
  <c r="S475" i="148"/>
  <c r="R510" i="148"/>
  <c r="S511" i="148"/>
  <c r="R524" i="148"/>
  <c r="R523" i="148" s="1"/>
  <c r="S525" i="148"/>
  <c r="R533" i="148"/>
  <c r="R532" i="148" s="1"/>
  <c r="R712" i="148" s="1"/>
  <c r="S534" i="148"/>
  <c r="R545" i="148"/>
  <c r="R544" i="148" s="1"/>
  <c r="R714" i="148" s="1"/>
  <c r="S546" i="148"/>
  <c r="Q556" i="148"/>
  <c r="Q555" i="148" s="1"/>
  <c r="Q716" i="148" s="1"/>
  <c r="R557" i="148"/>
  <c r="Q573" i="148"/>
  <c r="Q572" i="148" s="1"/>
  <c r="Q719" i="148" s="1"/>
  <c r="R574" i="148"/>
  <c r="Q582" i="148"/>
  <c r="Q581" i="148" s="1"/>
  <c r="R583" i="148"/>
  <c r="Q587" i="148"/>
  <c r="R588" i="148"/>
  <c r="Q593" i="148"/>
  <c r="R594" i="148"/>
  <c r="S432" i="148"/>
  <c r="T433" i="148"/>
  <c r="R614" i="148"/>
  <c r="S615" i="148"/>
  <c r="Q618" i="148"/>
  <c r="Q613" i="148" s="1"/>
  <c r="R619" i="148"/>
  <c r="R626" i="148"/>
  <c r="S627" i="148"/>
  <c r="Q632" i="148"/>
  <c r="R633" i="148"/>
  <c r="Q636" i="148"/>
  <c r="R637" i="148"/>
  <c r="Q644" i="148"/>
  <c r="Q643" i="148" s="1"/>
  <c r="R645" i="148"/>
  <c r="Q649" i="148"/>
  <c r="Q648" i="148" s="1"/>
  <c r="Q735" i="148" s="1"/>
  <c r="R650" i="148"/>
  <c r="Q666" i="148"/>
  <c r="Q665" i="148" s="1"/>
  <c r="Q738" i="148" s="1"/>
  <c r="R667" i="148"/>
  <c r="R672" i="148"/>
  <c r="R671" i="148" s="1"/>
  <c r="R739" i="148" s="1"/>
  <c r="S673" i="148"/>
  <c r="R599" i="148"/>
  <c r="Q598" i="148"/>
  <c r="Q595" i="148" s="1"/>
  <c r="Q724" i="148" s="1"/>
  <c r="R602" i="148"/>
  <c r="S603" i="148"/>
  <c r="T398" i="148"/>
  <c r="S397" i="148"/>
  <c r="S689" i="148" s="1"/>
  <c r="P702" i="148"/>
  <c r="P431" i="148"/>
  <c r="R706" i="148"/>
  <c r="Q685" i="148"/>
  <c r="Q348" i="148"/>
  <c r="N346" i="148"/>
  <c r="N681" i="148"/>
  <c r="Q652" i="148"/>
  <c r="Q473" i="148"/>
  <c r="Q472" i="148" s="1"/>
  <c r="Q704" i="148" s="1"/>
  <c r="Q523" i="148"/>
  <c r="P348" i="148"/>
  <c r="P562" i="148"/>
  <c r="P717" i="148" s="1"/>
  <c r="P522" i="148"/>
  <c r="P710" i="148" s="1"/>
  <c r="O612" i="148"/>
  <c r="O727" i="148" s="1"/>
  <c r="R499" i="148" l="1"/>
  <c r="R491" i="148" s="1"/>
  <c r="R707" i="148" s="1"/>
  <c r="S500" i="148"/>
  <c r="P612" i="148"/>
  <c r="P727" i="148" s="1"/>
  <c r="R517" i="148"/>
  <c r="S518" i="148"/>
  <c r="S502" i="148"/>
  <c r="T503" i="148"/>
  <c r="S505" i="148"/>
  <c r="T506" i="148"/>
  <c r="Q728" i="148"/>
  <c r="Q709" i="148"/>
  <c r="Q487" i="148"/>
  <c r="Q705" i="148" s="1"/>
  <c r="Q522" i="148"/>
  <c r="Q710" i="148" s="1"/>
  <c r="Q711" i="148"/>
  <c r="Q651" i="148"/>
  <c r="Q736" i="148" s="1"/>
  <c r="Q737" i="148"/>
  <c r="R598" i="148"/>
  <c r="S599" i="148"/>
  <c r="S701" i="148"/>
  <c r="Q722" i="148"/>
  <c r="T683" i="148"/>
  <c r="Q411" i="148"/>
  <c r="Q691" i="148" s="1"/>
  <c r="Q692" i="148"/>
  <c r="Q604" i="148"/>
  <c r="Q725" i="148" s="1"/>
  <c r="Q726" i="148"/>
  <c r="R718" i="148"/>
  <c r="P347" i="148"/>
  <c r="P682" i="148"/>
  <c r="Q347" i="148"/>
  <c r="Q682" i="148"/>
  <c r="P430" i="148"/>
  <c r="P699" i="148" s="1"/>
  <c r="P700" i="148"/>
  <c r="S602" i="148"/>
  <c r="T603" i="148"/>
  <c r="S672" i="148"/>
  <c r="S671" i="148" s="1"/>
  <c r="S739" i="148" s="1"/>
  <c r="T673" i="148"/>
  <c r="R666" i="148"/>
  <c r="S667" i="148"/>
  <c r="R649" i="148"/>
  <c r="R648" i="148" s="1"/>
  <c r="R735" i="148" s="1"/>
  <c r="S650" i="148"/>
  <c r="R644" i="148"/>
  <c r="R643" i="148" s="1"/>
  <c r="S645" i="148"/>
  <c r="R636" i="148"/>
  <c r="S637" i="148"/>
  <c r="R632" i="148"/>
  <c r="S633" i="148"/>
  <c r="S626" i="148"/>
  <c r="T627" i="148"/>
  <c r="R618" i="148"/>
  <c r="S619" i="148"/>
  <c r="S614" i="148"/>
  <c r="T615" i="148"/>
  <c r="T432" i="148"/>
  <c r="U433" i="148"/>
  <c r="R593" i="148"/>
  <c r="S594" i="148"/>
  <c r="R587" i="148"/>
  <c r="S588" i="148"/>
  <c r="R582" i="148"/>
  <c r="R581" i="148" s="1"/>
  <c r="S583" i="148"/>
  <c r="R573" i="148"/>
  <c r="R572" i="148" s="1"/>
  <c r="R719" i="148" s="1"/>
  <c r="S574" i="148"/>
  <c r="R556" i="148"/>
  <c r="R555" i="148" s="1"/>
  <c r="R716" i="148" s="1"/>
  <c r="S557" i="148"/>
  <c r="S545" i="148"/>
  <c r="S544" i="148" s="1"/>
  <c r="S714" i="148" s="1"/>
  <c r="T546" i="148"/>
  <c r="S533" i="148"/>
  <c r="S532" i="148" s="1"/>
  <c r="S712" i="148" s="1"/>
  <c r="T534" i="148"/>
  <c r="S524" i="148"/>
  <c r="T525" i="148"/>
  <c r="S510" i="148"/>
  <c r="T511" i="148"/>
  <c r="S474" i="148"/>
  <c r="T475" i="148"/>
  <c r="S447" i="148"/>
  <c r="T448" i="148"/>
  <c r="R520" i="148"/>
  <c r="S521" i="148"/>
  <c r="S468" i="148"/>
  <c r="S703" i="148" s="1"/>
  <c r="T469" i="148"/>
  <c r="V350" i="148"/>
  <c r="U349" i="148"/>
  <c r="S421" i="148"/>
  <c r="T422" i="148"/>
  <c r="R412" i="148"/>
  <c r="S413" i="148"/>
  <c r="S382" i="148"/>
  <c r="S687" i="148" s="1"/>
  <c r="T383" i="148"/>
  <c r="R669" i="148"/>
  <c r="S670" i="148"/>
  <c r="R657" i="148"/>
  <c r="S658" i="148"/>
  <c r="S653" i="148"/>
  <c r="T654" i="148"/>
  <c r="S646" i="148"/>
  <c r="T647" i="148"/>
  <c r="S640" i="148"/>
  <c r="S639" i="148" s="1"/>
  <c r="T641" i="148"/>
  <c r="S634" i="148"/>
  <c r="T635" i="148"/>
  <c r="R629" i="148"/>
  <c r="S630" i="148"/>
  <c r="R622" i="148"/>
  <c r="R621" i="148" s="1"/>
  <c r="R729" i="148" s="1"/>
  <c r="S623" i="148"/>
  <c r="R606" i="148"/>
  <c r="R605" i="148" s="1"/>
  <c r="S607" i="148"/>
  <c r="S596" i="148"/>
  <c r="T597" i="148"/>
  <c r="S589" i="148"/>
  <c r="T590" i="148"/>
  <c r="S584" i="148"/>
  <c r="T585" i="148"/>
  <c r="R577" i="148"/>
  <c r="R576" i="148" s="1"/>
  <c r="R720" i="148" s="1"/>
  <c r="S578" i="148"/>
  <c r="S564" i="148"/>
  <c r="S563" i="148" s="1"/>
  <c r="T565" i="148"/>
  <c r="S551" i="148"/>
  <c r="S550" i="148" s="1"/>
  <c r="S715" i="148" s="1"/>
  <c r="T552" i="148"/>
  <c r="S539" i="148"/>
  <c r="S538" i="148" s="1"/>
  <c r="S713" i="148" s="1"/>
  <c r="T540" i="148"/>
  <c r="S529" i="148"/>
  <c r="T530" i="148"/>
  <c r="S514" i="148"/>
  <c r="T515" i="148"/>
  <c r="S492" i="148"/>
  <c r="T493" i="148"/>
  <c r="S482" i="148"/>
  <c r="T483" i="148"/>
  <c r="S460" i="148"/>
  <c r="T461" i="148"/>
  <c r="S438" i="148"/>
  <c r="S437" i="148" s="1"/>
  <c r="S702" i="148" s="1"/>
  <c r="T439" i="148"/>
  <c r="S508" i="148"/>
  <c r="T509" i="148"/>
  <c r="S427" i="148"/>
  <c r="S426" i="148" s="1"/>
  <c r="S698" i="148" s="1"/>
  <c r="T428" i="148"/>
  <c r="S424" i="148"/>
  <c r="S697" i="148" s="1"/>
  <c r="T425" i="148"/>
  <c r="S416" i="148"/>
  <c r="S693" i="148" s="1"/>
  <c r="T417" i="148"/>
  <c r="R404" i="148"/>
  <c r="R690" i="148" s="1"/>
  <c r="S405" i="148"/>
  <c r="W360" i="148"/>
  <c r="W684" i="148" s="1"/>
  <c r="X361" i="148"/>
  <c r="Q430" i="148"/>
  <c r="Q699" i="148" s="1"/>
  <c r="Q700" i="148"/>
  <c r="R685" i="148"/>
  <c r="S706" i="148"/>
  <c r="Q628" i="148"/>
  <c r="Q730" i="148" s="1"/>
  <c r="N343" i="148"/>
  <c r="N680" i="148"/>
  <c r="T397" i="148"/>
  <c r="T689" i="148" s="1"/>
  <c r="U398" i="148"/>
  <c r="Q642" i="148"/>
  <c r="Q733" i="148" s="1"/>
  <c r="Q734" i="148"/>
  <c r="R711" i="148"/>
  <c r="R420" i="148"/>
  <c r="R696" i="148"/>
  <c r="R638" i="148"/>
  <c r="R731" i="148" s="1"/>
  <c r="R732" i="148"/>
  <c r="BJ684" i="148"/>
  <c r="BL684" i="148"/>
  <c r="BK684" i="148"/>
  <c r="Q419" i="148"/>
  <c r="Q694" i="148" s="1"/>
  <c r="Q695" i="148"/>
  <c r="S370" i="148"/>
  <c r="T371" i="148"/>
  <c r="T489" i="148"/>
  <c r="T488" i="148" s="1"/>
  <c r="U490" i="148"/>
  <c r="O346" i="148"/>
  <c r="O681" i="148"/>
  <c r="R613" i="148"/>
  <c r="Q586" i="148"/>
  <c r="Q723" i="148" s="1"/>
  <c r="R652" i="148"/>
  <c r="R595" i="148"/>
  <c r="R724" i="148" s="1"/>
  <c r="R513" i="148"/>
  <c r="R709" i="148" s="1"/>
  <c r="R437" i="148"/>
  <c r="R501" i="148"/>
  <c r="Q562" i="148"/>
  <c r="Q717" i="148" s="1"/>
  <c r="P651" i="148"/>
  <c r="P736" i="148" s="1"/>
  <c r="T502" i="148" l="1"/>
  <c r="U503" i="148"/>
  <c r="R628" i="148"/>
  <c r="R730" i="148" s="1"/>
  <c r="R586" i="148"/>
  <c r="R723" i="148" s="1"/>
  <c r="T505" i="148"/>
  <c r="U506" i="148"/>
  <c r="S517" i="148"/>
  <c r="T518" i="148"/>
  <c r="S499" i="148"/>
  <c r="T500" i="148"/>
  <c r="S501" i="148"/>
  <c r="S708" i="148" s="1"/>
  <c r="S491" i="148"/>
  <c r="S707" i="148" s="1"/>
  <c r="R522" i="148"/>
  <c r="R710" i="148" s="1"/>
  <c r="R612" i="148"/>
  <c r="R727" i="148" s="1"/>
  <c r="R728" i="148"/>
  <c r="S685" i="148"/>
  <c r="V398" i="148"/>
  <c r="U397" i="148"/>
  <c r="U689" i="148" s="1"/>
  <c r="S718" i="148"/>
  <c r="R604" i="148"/>
  <c r="R725" i="148" s="1"/>
  <c r="R726" i="148"/>
  <c r="S638" i="148"/>
  <c r="S731" i="148" s="1"/>
  <c r="S732" i="148"/>
  <c r="S420" i="148"/>
  <c r="S696" i="148"/>
  <c r="R702" i="148"/>
  <c r="R431" i="148"/>
  <c r="V490" i="148"/>
  <c r="U489" i="148"/>
  <c r="U488" i="148" s="1"/>
  <c r="U371" i="148"/>
  <c r="T370" i="148"/>
  <c r="R419" i="148"/>
  <c r="R694" i="148" s="1"/>
  <c r="R695" i="148"/>
  <c r="X360" i="148"/>
  <c r="X684" i="148" s="1"/>
  <c r="Y361" i="148"/>
  <c r="S404" i="148"/>
  <c r="S690" i="148" s="1"/>
  <c r="T405" i="148"/>
  <c r="T416" i="148"/>
  <c r="T693" i="148" s="1"/>
  <c r="U417" i="148"/>
  <c r="T424" i="148"/>
  <c r="T697" i="148" s="1"/>
  <c r="U425" i="148"/>
  <c r="T427" i="148"/>
  <c r="T426" i="148" s="1"/>
  <c r="T698" i="148" s="1"/>
  <c r="U428" i="148"/>
  <c r="T508" i="148"/>
  <c r="U509" i="148"/>
  <c r="T438" i="148"/>
  <c r="U439" i="148"/>
  <c r="T460" i="148"/>
  <c r="U461" i="148"/>
  <c r="T482" i="148"/>
  <c r="U483" i="148"/>
  <c r="T492" i="148"/>
  <c r="U493" i="148"/>
  <c r="T514" i="148"/>
  <c r="U515" i="148"/>
  <c r="T529" i="148"/>
  <c r="U530" i="148"/>
  <c r="T539" i="148"/>
  <c r="T538" i="148" s="1"/>
  <c r="T713" i="148" s="1"/>
  <c r="U540" i="148"/>
  <c r="T551" i="148"/>
  <c r="T550" i="148" s="1"/>
  <c r="T715" i="148" s="1"/>
  <c r="U552" i="148"/>
  <c r="T564" i="148"/>
  <c r="T563" i="148" s="1"/>
  <c r="U565" i="148"/>
  <c r="S577" i="148"/>
  <c r="S576" i="148" s="1"/>
  <c r="S720" i="148" s="1"/>
  <c r="T578" i="148"/>
  <c r="T584" i="148"/>
  <c r="U585" i="148"/>
  <c r="T589" i="148"/>
  <c r="U590" i="148"/>
  <c r="T596" i="148"/>
  <c r="U597" i="148"/>
  <c r="S606" i="148"/>
  <c r="S605" i="148" s="1"/>
  <c r="T607" i="148"/>
  <c r="S622" i="148"/>
  <c r="S621" i="148" s="1"/>
  <c r="S729" i="148" s="1"/>
  <c r="T623" i="148"/>
  <c r="S629" i="148"/>
  <c r="T630" i="148"/>
  <c r="T634" i="148"/>
  <c r="U635" i="148"/>
  <c r="T640" i="148"/>
  <c r="T639" i="148" s="1"/>
  <c r="U641" i="148"/>
  <c r="T646" i="148"/>
  <c r="U647" i="148"/>
  <c r="T653" i="148"/>
  <c r="U654" i="148"/>
  <c r="S657" i="148"/>
  <c r="T658" i="148"/>
  <c r="S669" i="148"/>
  <c r="T670" i="148"/>
  <c r="T382" i="148"/>
  <c r="T687" i="148" s="1"/>
  <c r="U383" i="148"/>
  <c r="S412" i="148"/>
  <c r="T413" i="148"/>
  <c r="T421" i="148"/>
  <c r="U422" i="148"/>
  <c r="U683" i="148"/>
  <c r="T468" i="148"/>
  <c r="T703" i="148" s="1"/>
  <c r="U469" i="148"/>
  <c r="S520" i="148"/>
  <c r="T521" i="148"/>
  <c r="T447" i="148"/>
  <c r="U448" i="148"/>
  <c r="T474" i="148"/>
  <c r="T473" i="148" s="1"/>
  <c r="T472" i="148" s="1"/>
  <c r="T704" i="148" s="1"/>
  <c r="U475" i="148"/>
  <c r="T510" i="148"/>
  <c r="U511" i="148"/>
  <c r="T524" i="148"/>
  <c r="T523" i="148" s="1"/>
  <c r="U525" i="148"/>
  <c r="T533" i="148"/>
  <c r="T532" i="148" s="1"/>
  <c r="T712" i="148" s="1"/>
  <c r="U534" i="148"/>
  <c r="T545" i="148"/>
  <c r="T544" i="148" s="1"/>
  <c r="T714" i="148" s="1"/>
  <c r="U546" i="148"/>
  <c r="S556" i="148"/>
  <c r="S555" i="148" s="1"/>
  <c r="S716" i="148" s="1"/>
  <c r="T557" i="148"/>
  <c r="S573" i="148"/>
  <c r="S572" i="148" s="1"/>
  <c r="S719" i="148" s="1"/>
  <c r="T574" i="148"/>
  <c r="S582" i="148"/>
  <c r="S581" i="148" s="1"/>
  <c r="T583" i="148"/>
  <c r="S587" i="148"/>
  <c r="S586" i="148" s="1"/>
  <c r="S723" i="148" s="1"/>
  <c r="T588" i="148"/>
  <c r="S593" i="148"/>
  <c r="T594" i="148"/>
  <c r="U432" i="148"/>
  <c r="V433" i="148"/>
  <c r="T614" i="148"/>
  <c r="U615" i="148"/>
  <c r="S618" i="148"/>
  <c r="T619" i="148"/>
  <c r="T626" i="148"/>
  <c r="U627" i="148"/>
  <c r="S632" i="148"/>
  <c r="T633" i="148"/>
  <c r="S636" i="148"/>
  <c r="T637" i="148"/>
  <c r="S644" i="148"/>
  <c r="S643" i="148" s="1"/>
  <c r="T645" i="148"/>
  <c r="S649" i="148"/>
  <c r="S648" i="148" s="1"/>
  <c r="S735" i="148" s="1"/>
  <c r="T650" i="148"/>
  <c r="S666" i="148"/>
  <c r="S665" i="148" s="1"/>
  <c r="S738" i="148" s="1"/>
  <c r="T667" i="148"/>
  <c r="T672" i="148"/>
  <c r="T671" i="148" s="1"/>
  <c r="T739" i="148" s="1"/>
  <c r="U673" i="148"/>
  <c r="U603" i="148"/>
  <c r="T602" i="148"/>
  <c r="S598" i="148"/>
  <c r="S595" i="148" s="1"/>
  <c r="S724" i="148" s="1"/>
  <c r="T599" i="148"/>
  <c r="S652" i="148"/>
  <c r="R348" i="148"/>
  <c r="Q612" i="148"/>
  <c r="Q727" i="148" s="1"/>
  <c r="R708" i="148"/>
  <c r="R487" i="148"/>
  <c r="R705" i="148" s="1"/>
  <c r="R737" i="148"/>
  <c r="O343" i="148"/>
  <c r="O680" i="148"/>
  <c r="T706" i="148"/>
  <c r="BH684" i="148"/>
  <c r="BG684" i="148"/>
  <c r="BI684" i="148"/>
  <c r="R411" i="148"/>
  <c r="R691" i="148" s="1"/>
  <c r="R692" i="148"/>
  <c r="V349" i="148"/>
  <c r="W350" i="148"/>
  <c r="R580" i="148"/>
  <c r="R721" i="148" s="1"/>
  <c r="R722" i="148"/>
  <c r="T701" i="148"/>
  <c r="R642" i="148"/>
  <c r="R733" i="148" s="1"/>
  <c r="R734" i="148"/>
  <c r="Q681" i="148"/>
  <c r="P346" i="148"/>
  <c r="P681" i="148"/>
  <c r="S513" i="148"/>
  <c r="S473" i="148"/>
  <c r="S472" i="148" s="1"/>
  <c r="S704" i="148" s="1"/>
  <c r="S523" i="148"/>
  <c r="S613" i="148"/>
  <c r="R665" i="148"/>
  <c r="R738" i="148" s="1"/>
  <c r="R562" i="148"/>
  <c r="R717" i="148" s="1"/>
  <c r="Q580" i="148"/>
  <c r="Q721" i="148" s="1"/>
  <c r="S431" i="148"/>
  <c r="Q346" i="148" l="1"/>
  <c r="T517" i="148"/>
  <c r="U518" i="148"/>
  <c r="T499" i="148"/>
  <c r="T491" i="148" s="1"/>
  <c r="T707" i="148" s="1"/>
  <c r="U500" i="148"/>
  <c r="U505" i="148"/>
  <c r="V506" i="148"/>
  <c r="U502" i="148"/>
  <c r="V503" i="148"/>
  <c r="S728" i="148"/>
  <c r="P343" i="148"/>
  <c r="P680" i="148"/>
  <c r="Q343" i="148"/>
  <c r="Q680" i="148"/>
  <c r="U602" i="148"/>
  <c r="V603" i="148"/>
  <c r="T711" i="148"/>
  <c r="S411" i="148"/>
  <c r="S691" i="148" s="1"/>
  <c r="S692" i="148"/>
  <c r="S604" i="148"/>
  <c r="S725" i="148" s="1"/>
  <c r="S726" i="148"/>
  <c r="S522" i="148"/>
  <c r="S710" i="148" s="1"/>
  <c r="S711" i="148"/>
  <c r="X350" i="148"/>
  <c r="W349" i="148"/>
  <c r="R347" i="148"/>
  <c r="R682" i="148"/>
  <c r="T598" i="148"/>
  <c r="U599" i="148"/>
  <c r="U672" i="148"/>
  <c r="U671" i="148" s="1"/>
  <c r="U739" i="148" s="1"/>
  <c r="V673" i="148"/>
  <c r="T666" i="148"/>
  <c r="U667" i="148"/>
  <c r="T649" i="148"/>
  <c r="T648" i="148" s="1"/>
  <c r="T735" i="148" s="1"/>
  <c r="U650" i="148"/>
  <c r="T644" i="148"/>
  <c r="T643" i="148" s="1"/>
  <c r="U645" i="148"/>
  <c r="T636" i="148"/>
  <c r="U637" i="148"/>
  <c r="T632" i="148"/>
  <c r="U633" i="148"/>
  <c r="U626" i="148"/>
  <c r="V627" i="148"/>
  <c r="T618" i="148"/>
  <c r="U619" i="148"/>
  <c r="U614" i="148"/>
  <c r="V615" i="148"/>
  <c r="V432" i="148"/>
  <c r="W433" i="148"/>
  <c r="T593" i="148"/>
  <c r="U594" i="148"/>
  <c r="T587" i="148"/>
  <c r="U588" i="148"/>
  <c r="T582" i="148"/>
  <c r="T581" i="148" s="1"/>
  <c r="U583" i="148"/>
  <c r="T573" i="148"/>
  <c r="T572" i="148" s="1"/>
  <c r="T719" i="148" s="1"/>
  <c r="U574" i="148"/>
  <c r="T556" i="148"/>
  <c r="T555" i="148" s="1"/>
  <c r="T716" i="148" s="1"/>
  <c r="U557" i="148"/>
  <c r="U545" i="148"/>
  <c r="U544" i="148" s="1"/>
  <c r="U714" i="148" s="1"/>
  <c r="V546" i="148"/>
  <c r="U533" i="148"/>
  <c r="U532" i="148" s="1"/>
  <c r="U712" i="148" s="1"/>
  <c r="V534" i="148"/>
  <c r="U524" i="148"/>
  <c r="V525" i="148"/>
  <c r="U510" i="148"/>
  <c r="V511" i="148"/>
  <c r="U474" i="148"/>
  <c r="V475" i="148"/>
  <c r="U447" i="148"/>
  <c r="V448" i="148"/>
  <c r="T520" i="148"/>
  <c r="T513" i="148" s="1"/>
  <c r="T709" i="148" s="1"/>
  <c r="U521" i="148"/>
  <c r="U468" i="148"/>
  <c r="U703" i="148" s="1"/>
  <c r="V469" i="148"/>
  <c r="U421" i="148"/>
  <c r="V422" i="148"/>
  <c r="T412" i="148"/>
  <c r="U413" i="148"/>
  <c r="U382" i="148"/>
  <c r="U687" i="148" s="1"/>
  <c r="V383" i="148"/>
  <c r="T669" i="148"/>
  <c r="U670" i="148"/>
  <c r="T657" i="148"/>
  <c r="T652" i="148" s="1"/>
  <c r="U658" i="148"/>
  <c r="U653" i="148"/>
  <c r="V654" i="148"/>
  <c r="U646" i="148"/>
  <c r="V647" i="148"/>
  <c r="U640" i="148"/>
  <c r="U639" i="148" s="1"/>
  <c r="V641" i="148"/>
  <c r="U634" i="148"/>
  <c r="V635" i="148"/>
  <c r="T629" i="148"/>
  <c r="T628" i="148" s="1"/>
  <c r="T730" i="148" s="1"/>
  <c r="U630" i="148"/>
  <c r="T622" i="148"/>
  <c r="T621" i="148" s="1"/>
  <c r="T729" i="148" s="1"/>
  <c r="U623" i="148"/>
  <c r="T606" i="148"/>
  <c r="T605" i="148" s="1"/>
  <c r="U607" i="148"/>
  <c r="U596" i="148"/>
  <c r="V597" i="148"/>
  <c r="U589" i="148"/>
  <c r="V590" i="148"/>
  <c r="U584" i="148"/>
  <c r="V585" i="148"/>
  <c r="T577" i="148"/>
  <c r="T576" i="148" s="1"/>
  <c r="T720" i="148" s="1"/>
  <c r="U578" i="148"/>
  <c r="U564" i="148"/>
  <c r="U563" i="148" s="1"/>
  <c r="V565" i="148"/>
  <c r="U551" i="148"/>
  <c r="U550" i="148" s="1"/>
  <c r="U715" i="148" s="1"/>
  <c r="V552" i="148"/>
  <c r="U539" i="148"/>
  <c r="U538" i="148" s="1"/>
  <c r="U713" i="148" s="1"/>
  <c r="V540" i="148"/>
  <c r="U529" i="148"/>
  <c r="V530" i="148"/>
  <c r="U514" i="148"/>
  <c r="V515" i="148"/>
  <c r="U492" i="148"/>
  <c r="V493" i="148"/>
  <c r="U482" i="148"/>
  <c r="V483" i="148"/>
  <c r="U460" i="148"/>
  <c r="V461" i="148"/>
  <c r="U438" i="148"/>
  <c r="V439" i="148"/>
  <c r="U508" i="148"/>
  <c r="U501" i="148" s="1"/>
  <c r="U708" i="148" s="1"/>
  <c r="V509" i="148"/>
  <c r="U427" i="148"/>
  <c r="U426" i="148" s="1"/>
  <c r="U698" i="148" s="1"/>
  <c r="V428" i="148"/>
  <c r="U424" i="148"/>
  <c r="U697" i="148" s="1"/>
  <c r="V425" i="148"/>
  <c r="U416" i="148"/>
  <c r="U693" i="148" s="1"/>
  <c r="V417" i="148"/>
  <c r="T404" i="148"/>
  <c r="T690" i="148" s="1"/>
  <c r="U405" i="148"/>
  <c r="Y360" i="148"/>
  <c r="Y684" i="148" s="1"/>
  <c r="Z361" i="148"/>
  <c r="T685" i="148"/>
  <c r="U706" i="148"/>
  <c r="R430" i="148"/>
  <c r="R699" i="148" s="1"/>
  <c r="R700" i="148"/>
  <c r="T613" i="148"/>
  <c r="S628" i="148"/>
  <c r="S730" i="148" s="1"/>
  <c r="T595" i="148"/>
  <c r="T724" i="148" s="1"/>
  <c r="R651" i="148"/>
  <c r="R736" i="148" s="1"/>
  <c r="S348" i="148"/>
  <c r="S430" i="148"/>
  <c r="S699" i="148" s="1"/>
  <c r="S700" i="148"/>
  <c r="S709" i="148"/>
  <c r="S487" i="148"/>
  <c r="S705" i="148" s="1"/>
  <c r="V683" i="148"/>
  <c r="S651" i="148"/>
  <c r="S736" i="148" s="1"/>
  <c r="S737" i="148"/>
  <c r="S642" i="148"/>
  <c r="S733" i="148" s="1"/>
  <c r="S734" i="148"/>
  <c r="U701" i="148"/>
  <c r="S580" i="148"/>
  <c r="S721" i="148" s="1"/>
  <c r="S722" i="148"/>
  <c r="T420" i="148"/>
  <c r="T696" i="148"/>
  <c r="T638" i="148"/>
  <c r="T731" i="148" s="1"/>
  <c r="T732" i="148"/>
  <c r="T718" i="148"/>
  <c r="BD684" i="148"/>
  <c r="BF684" i="148"/>
  <c r="BE684" i="148"/>
  <c r="U370" i="148"/>
  <c r="V371" i="148"/>
  <c r="V489" i="148"/>
  <c r="V488" i="148" s="1"/>
  <c r="W490" i="148"/>
  <c r="S419" i="148"/>
  <c r="S694" i="148" s="1"/>
  <c r="S695" i="148"/>
  <c r="V397" i="148"/>
  <c r="V689" i="148" s="1"/>
  <c r="W398" i="148"/>
  <c r="T437" i="148"/>
  <c r="T501" i="148"/>
  <c r="S562" i="148"/>
  <c r="S717" i="148" s="1"/>
  <c r="V505" i="148" l="1"/>
  <c r="W506" i="148"/>
  <c r="U517" i="148"/>
  <c r="V518" i="148"/>
  <c r="V502" i="148"/>
  <c r="W503" i="148"/>
  <c r="U499" i="148"/>
  <c r="U491" i="148" s="1"/>
  <c r="U707" i="148" s="1"/>
  <c r="V500" i="148"/>
  <c r="U437" i="148"/>
  <c r="U702" i="148" s="1"/>
  <c r="T586" i="148"/>
  <c r="T723" i="148" s="1"/>
  <c r="BK689" i="148"/>
  <c r="BJ689" i="148"/>
  <c r="BL689" i="148"/>
  <c r="V706" i="148"/>
  <c r="S347" i="148"/>
  <c r="S682" i="148"/>
  <c r="T612" i="148"/>
  <c r="T727" i="148" s="1"/>
  <c r="T728" i="148"/>
  <c r="BB684" i="148"/>
  <c r="BA684" i="148"/>
  <c r="BC684" i="148"/>
  <c r="U718" i="148"/>
  <c r="T604" i="148"/>
  <c r="T725" i="148" s="1"/>
  <c r="T726" i="148"/>
  <c r="U638" i="148"/>
  <c r="U731" i="148" s="1"/>
  <c r="U732" i="148"/>
  <c r="T708" i="148"/>
  <c r="T487" i="148"/>
  <c r="T705" i="148" s="1"/>
  <c r="X398" i="148"/>
  <c r="W397" i="148"/>
  <c r="W689" i="148" s="1"/>
  <c r="X490" i="148"/>
  <c r="W489" i="148"/>
  <c r="W488" i="148" s="1"/>
  <c r="W371" i="148"/>
  <c r="V370" i="148"/>
  <c r="T419" i="148"/>
  <c r="T694" i="148" s="1"/>
  <c r="T695" i="148"/>
  <c r="Z360" i="148"/>
  <c r="Z684" i="148" s="1"/>
  <c r="AA361" i="148"/>
  <c r="U404" i="148"/>
  <c r="U690" i="148" s="1"/>
  <c r="V405" i="148"/>
  <c r="V416" i="148"/>
  <c r="V693" i="148" s="1"/>
  <c r="W417" i="148"/>
  <c r="V424" i="148"/>
  <c r="V697" i="148" s="1"/>
  <c r="W425" i="148"/>
  <c r="V427" i="148"/>
  <c r="V426" i="148" s="1"/>
  <c r="V698" i="148" s="1"/>
  <c r="W428" i="148"/>
  <c r="V508" i="148"/>
  <c r="W509" i="148"/>
  <c r="V438" i="148"/>
  <c r="W439" i="148"/>
  <c r="V460" i="148"/>
  <c r="W461" i="148"/>
  <c r="V482" i="148"/>
  <c r="W483" i="148"/>
  <c r="V492" i="148"/>
  <c r="W493" i="148"/>
  <c r="V514" i="148"/>
  <c r="W515" i="148"/>
  <c r="V529" i="148"/>
  <c r="W530" i="148"/>
  <c r="V539" i="148"/>
  <c r="V538" i="148" s="1"/>
  <c r="V713" i="148" s="1"/>
  <c r="W540" i="148"/>
  <c r="V551" i="148"/>
  <c r="V550" i="148" s="1"/>
  <c r="V715" i="148" s="1"/>
  <c r="W552" i="148"/>
  <c r="V564" i="148"/>
  <c r="V563" i="148" s="1"/>
  <c r="W565" i="148"/>
  <c r="U577" i="148"/>
  <c r="U576" i="148" s="1"/>
  <c r="U720" i="148" s="1"/>
  <c r="V578" i="148"/>
  <c r="V584" i="148"/>
  <c r="W585" i="148"/>
  <c r="V589" i="148"/>
  <c r="W590" i="148"/>
  <c r="V596" i="148"/>
  <c r="W597" i="148"/>
  <c r="U606" i="148"/>
  <c r="U605" i="148" s="1"/>
  <c r="V607" i="148"/>
  <c r="U622" i="148"/>
  <c r="U621" i="148" s="1"/>
  <c r="U729" i="148" s="1"/>
  <c r="V623" i="148"/>
  <c r="U629" i="148"/>
  <c r="V630" i="148"/>
  <c r="V634" i="148"/>
  <c r="W635" i="148"/>
  <c r="V640" i="148"/>
  <c r="V639" i="148" s="1"/>
  <c r="W641" i="148"/>
  <c r="V646" i="148"/>
  <c r="W647" i="148"/>
  <c r="V653" i="148"/>
  <c r="W654" i="148"/>
  <c r="U657" i="148"/>
  <c r="U652" i="148" s="1"/>
  <c r="V658" i="148"/>
  <c r="U669" i="148"/>
  <c r="V670" i="148"/>
  <c r="V382" i="148"/>
  <c r="V687" i="148" s="1"/>
  <c r="W383" i="148"/>
  <c r="U412" i="148"/>
  <c r="V413" i="148"/>
  <c r="V421" i="148"/>
  <c r="W422" i="148"/>
  <c r="V468" i="148"/>
  <c r="V703" i="148" s="1"/>
  <c r="W469" i="148"/>
  <c r="U520" i="148"/>
  <c r="U513" i="148" s="1"/>
  <c r="V521" i="148"/>
  <c r="V447" i="148"/>
  <c r="W448" i="148"/>
  <c r="V474" i="148"/>
  <c r="V473" i="148" s="1"/>
  <c r="V472" i="148" s="1"/>
  <c r="V704" i="148" s="1"/>
  <c r="W475" i="148"/>
  <c r="V510" i="148"/>
  <c r="W511" i="148"/>
  <c r="V524" i="148"/>
  <c r="V523" i="148" s="1"/>
  <c r="W525" i="148"/>
  <c r="V533" i="148"/>
  <c r="V532" i="148" s="1"/>
  <c r="V712" i="148" s="1"/>
  <c r="W534" i="148"/>
  <c r="V545" i="148"/>
  <c r="V544" i="148" s="1"/>
  <c r="V714" i="148" s="1"/>
  <c r="W546" i="148"/>
  <c r="U556" i="148"/>
  <c r="U555" i="148" s="1"/>
  <c r="U716" i="148" s="1"/>
  <c r="V557" i="148"/>
  <c r="U573" i="148"/>
  <c r="U572" i="148" s="1"/>
  <c r="U719" i="148" s="1"/>
  <c r="V574" i="148"/>
  <c r="U582" i="148"/>
  <c r="U581" i="148" s="1"/>
  <c r="V583" i="148"/>
  <c r="U587" i="148"/>
  <c r="V588" i="148"/>
  <c r="U593" i="148"/>
  <c r="V594" i="148"/>
  <c r="W432" i="148"/>
  <c r="X433" i="148"/>
  <c r="V614" i="148"/>
  <c r="W615" i="148"/>
  <c r="U618" i="148"/>
  <c r="U613" i="148" s="1"/>
  <c r="V619" i="148"/>
  <c r="V626" i="148"/>
  <c r="W627" i="148"/>
  <c r="U632" i="148"/>
  <c r="V633" i="148"/>
  <c r="U636" i="148"/>
  <c r="V637" i="148"/>
  <c r="U644" i="148"/>
  <c r="U643" i="148" s="1"/>
  <c r="V645" i="148"/>
  <c r="U649" i="148"/>
  <c r="U648" i="148" s="1"/>
  <c r="U735" i="148" s="1"/>
  <c r="V650" i="148"/>
  <c r="U666" i="148"/>
  <c r="U665" i="148" s="1"/>
  <c r="U738" i="148" s="1"/>
  <c r="V667" i="148"/>
  <c r="V672" i="148"/>
  <c r="V671" i="148" s="1"/>
  <c r="V739" i="148" s="1"/>
  <c r="W673" i="148"/>
  <c r="V599" i="148"/>
  <c r="U598" i="148"/>
  <c r="W683" i="148"/>
  <c r="V602" i="148"/>
  <c r="W603" i="148"/>
  <c r="U473" i="148"/>
  <c r="U472" i="148" s="1"/>
  <c r="U704" i="148" s="1"/>
  <c r="T562" i="148"/>
  <c r="T717" i="148" s="1"/>
  <c r="U431" i="148"/>
  <c r="T348" i="148"/>
  <c r="T702" i="148"/>
  <c r="T431" i="148"/>
  <c r="T737" i="148"/>
  <c r="U685" i="148"/>
  <c r="U348" i="148"/>
  <c r="BK683" i="148"/>
  <c r="BJ683" i="148"/>
  <c r="BL683" i="148"/>
  <c r="T411" i="148"/>
  <c r="T691" i="148" s="1"/>
  <c r="T692" i="148"/>
  <c r="U420" i="148"/>
  <c r="U696" i="148"/>
  <c r="T580" i="148"/>
  <c r="T721" i="148" s="1"/>
  <c r="T722" i="148"/>
  <c r="V701" i="148"/>
  <c r="T642" i="148"/>
  <c r="T733" i="148" s="1"/>
  <c r="T734" i="148"/>
  <c r="R346" i="148"/>
  <c r="R681" i="148"/>
  <c r="X349" i="148"/>
  <c r="Y350" i="148"/>
  <c r="U595" i="148"/>
  <c r="U724" i="148" s="1"/>
  <c r="U523" i="148"/>
  <c r="T665" i="148"/>
  <c r="T738" i="148" s="1"/>
  <c r="T522" i="148"/>
  <c r="T710" i="148" s="1"/>
  <c r="S612" i="148"/>
  <c r="S727" i="148" s="1"/>
  <c r="V517" i="148" l="1"/>
  <c r="W518" i="148"/>
  <c r="W502" i="148"/>
  <c r="X503" i="148"/>
  <c r="W505" i="148"/>
  <c r="X506" i="148"/>
  <c r="V499" i="148"/>
  <c r="V491" i="148" s="1"/>
  <c r="V707" i="148" s="1"/>
  <c r="W500" i="148"/>
  <c r="U728" i="148"/>
  <c r="U709" i="148"/>
  <c r="U487" i="148"/>
  <c r="U705" i="148" s="1"/>
  <c r="U651" i="148"/>
  <c r="U736" i="148" s="1"/>
  <c r="U737" i="148"/>
  <c r="U522" i="148"/>
  <c r="U710" i="148" s="1"/>
  <c r="U711" i="148"/>
  <c r="Z350" i="148"/>
  <c r="Y349" i="148"/>
  <c r="BK701" i="148"/>
  <c r="BJ701" i="148"/>
  <c r="BL701" i="148"/>
  <c r="U430" i="148"/>
  <c r="U699" i="148" s="1"/>
  <c r="U700" i="148"/>
  <c r="V598" i="148"/>
  <c r="W599" i="148"/>
  <c r="BJ739" i="148"/>
  <c r="BL739" i="148"/>
  <c r="BK739" i="148"/>
  <c r="W701" i="148"/>
  <c r="U722" i="148"/>
  <c r="BJ712" i="148"/>
  <c r="BL712" i="148"/>
  <c r="BK712" i="148"/>
  <c r="BJ704" i="148"/>
  <c r="BL704" i="148"/>
  <c r="BK704" i="148"/>
  <c r="V420" i="148"/>
  <c r="V696" i="148"/>
  <c r="BK687" i="148"/>
  <c r="BJ687" i="148"/>
  <c r="BL687" i="148"/>
  <c r="X683" i="148"/>
  <c r="R343" i="148"/>
  <c r="R680" i="148"/>
  <c r="U419" i="148"/>
  <c r="U694" i="148" s="1"/>
  <c r="U695" i="148"/>
  <c r="U682" i="148"/>
  <c r="T430" i="148"/>
  <c r="T699" i="148" s="1"/>
  <c r="T700" i="148"/>
  <c r="T347" i="148"/>
  <c r="T682" i="148"/>
  <c r="W602" i="148"/>
  <c r="X603" i="148"/>
  <c r="BG683" i="148"/>
  <c r="BI683" i="148"/>
  <c r="BH683" i="148"/>
  <c r="W672" i="148"/>
  <c r="W671" i="148" s="1"/>
  <c r="W739" i="148" s="1"/>
  <c r="X673" i="148"/>
  <c r="V666" i="148"/>
  <c r="W667" i="148"/>
  <c r="V649" i="148"/>
  <c r="V648" i="148" s="1"/>
  <c r="V735" i="148" s="1"/>
  <c r="W650" i="148"/>
  <c r="V644" i="148"/>
  <c r="V643" i="148" s="1"/>
  <c r="W645" i="148"/>
  <c r="V636" i="148"/>
  <c r="W637" i="148"/>
  <c r="V632" i="148"/>
  <c r="W633" i="148"/>
  <c r="W626" i="148"/>
  <c r="X627" i="148"/>
  <c r="V618" i="148"/>
  <c r="W619" i="148"/>
  <c r="W614" i="148"/>
  <c r="X615" i="148"/>
  <c r="X432" i="148"/>
  <c r="Y433" i="148"/>
  <c r="V593" i="148"/>
  <c r="W594" i="148"/>
  <c r="V587" i="148"/>
  <c r="V586" i="148" s="1"/>
  <c r="V723" i="148" s="1"/>
  <c r="W588" i="148"/>
  <c r="V582" i="148"/>
  <c r="V581" i="148" s="1"/>
  <c r="W583" i="148"/>
  <c r="V573" i="148"/>
  <c r="V572" i="148" s="1"/>
  <c r="V719" i="148" s="1"/>
  <c r="W574" i="148"/>
  <c r="V556" i="148"/>
  <c r="V555" i="148" s="1"/>
  <c r="V716" i="148" s="1"/>
  <c r="W557" i="148"/>
  <c r="W545" i="148"/>
  <c r="W544" i="148" s="1"/>
  <c r="W714" i="148" s="1"/>
  <c r="X546" i="148"/>
  <c r="W533" i="148"/>
  <c r="W532" i="148" s="1"/>
  <c r="W712" i="148" s="1"/>
  <c r="X534" i="148"/>
  <c r="W524" i="148"/>
  <c r="X525" i="148"/>
  <c r="W510" i="148"/>
  <c r="X511" i="148"/>
  <c r="W474" i="148"/>
  <c r="X475" i="148"/>
  <c r="W447" i="148"/>
  <c r="X448" i="148"/>
  <c r="V520" i="148"/>
  <c r="W521" i="148"/>
  <c r="W468" i="148"/>
  <c r="W703" i="148" s="1"/>
  <c r="X469" i="148"/>
  <c r="W421" i="148"/>
  <c r="X422" i="148"/>
  <c r="V412" i="148"/>
  <c r="W413" i="148"/>
  <c r="W382" i="148"/>
  <c r="W687" i="148" s="1"/>
  <c r="X383" i="148"/>
  <c r="V669" i="148"/>
  <c r="W670" i="148"/>
  <c r="V657" i="148"/>
  <c r="W658" i="148"/>
  <c r="W653" i="148"/>
  <c r="X654" i="148"/>
  <c r="W646" i="148"/>
  <c r="X647" i="148"/>
  <c r="W640" i="148"/>
  <c r="W639" i="148" s="1"/>
  <c r="X641" i="148"/>
  <c r="W634" i="148"/>
  <c r="X635" i="148"/>
  <c r="V629" i="148"/>
  <c r="V628" i="148" s="1"/>
  <c r="V730" i="148" s="1"/>
  <c r="W630" i="148"/>
  <c r="V622" i="148"/>
  <c r="V621" i="148" s="1"/>
  <c r="V729" i="148" s="1"/>
  <c r="W623" i="148"/>
  <c r="V606" i="148"/>
  <c r="V605" i="148" s="1"/>
  <c r="W607" i="148"/>
  <c r="W596" i="148"/>
  <c r="X597" i="148"/>
  <c r="W589" i="148"/>
  <c r="X590" i="148"/>
  <c r="W584" i="148"/>
  <c r="X585" i="148"/>
  <c r="V577" i="148"/>
  <c r="V576" i="148" s="1"/>
  <c r="V720" i="148" s="1"/>
  <c r="W578" i="148"/>
  <c r="W564" i="148"/>
  <c r="W563" i="148" s="1"/>
  <c r="X565" i="148"/>
  <c r="W551" i="148"/>
  <c r="W550" i="148" s="1"/>
  <c r="W715" i="148" s="1"/>
  <c r="X552" i="148"/>
  <c r="W539" i="148"/>
  <c r="W538" i="148" s="1"/>
  <c r="W713" i="148" s="1"/>
  <c r="X540" i="148"/>
  <c r="W529" i="148"/>
  <c r="X530" i="148"/>
  <c r="W514" i="148"/>
  <c r="X515" i="148"/>
  <c r="W492" i="148"/>
  <c r="X493" i="148"/>
  <c r="W482" i="148"/>
  <c r="X483" i="148"/>
  <c r="W460" i="148"/>
  <c r="X461" i="148"/>
  <c r="W438" i="148"/>
  <c r="W437" i="148" s="1"/>
  <c r="W702" i="148" s="1"/>
  <c r="X439" i="148"/>
  <c r="W508" i="148"/>
  <c r="W501" i="148" s="1"/>
  <c r="W708" i="148" s="1"/>
  <c r="X509" i="148"/>
  <c r="W427" i="148"/>
  <c r="W426" i="148" s="1"/>
  <c r="W698" i="148" s="1"/>
  <c r="X428" i="148"/>
  <c r="W424" i="148"/>
  <c r="W697" i="148" s="1"/>
  <c r="X425" i="148"/>
  <c r="W416" i="148"/>
  <c r="W693" i="148" s="1"/>
  <c r="X417" i="148"/>
  <c r="V404" i="148"/>
  <c r="V690" i="148" s="1"/>
  <c r="W405" i="148"/>
  <c r="AA360" i="148"/>
  <c r="AA684" i="148" s="1"/>
  <c r="AB361" i="148"/>
  <c r="V685" i="148"/>
  <c r="W706" i="148"/>
  <c r="BG689" i="148"/>
  <c r="BI689" i="148"/>
  <c r="BH689" i="148"/>
  <c r="S346" i="148"/>
  <c r="S681" i="148"/>
  <c r="T651" i="148"/>
  <c r="T736" i="148" s="1"/>
  <c r="V652" i="148"/>
  <c r="U628" i="148"/>
  <c r="U730" i="148" s="1"/>
  <c r="U642" i="148"/>
  <c r="U733" i="148" s="1"/>
  <c r="U734" i="148"/>
  <c r="BJ714" i="148"/>
  <c r="BL714" i="148"/>
  <c r="BK714" i="148"/>
  <c r="V522" i="148"/>
  <c r="V710" i="148" s="1"/>
  <c r="V711" i="148"/>
  <c r="BK703" i="148"/>
  <c r="BJ703" i="148"/>
  <c r="BL703" i="148"/>
  <c r="U411" i="148"/>
  <c r="U691" i="148" s="1"/>
  <c r="U692" i="148"/>
  <c r="V638" i="148"/>
  <c r="V731" i="148" s="1"/>
  <c r="V732" i="148"/>
  <c r="U604" i="148"/>
  <c r="U725" i="148" s="1"/>
  <c r="U726" i="148"/>
  <c r="V718" i="148"/>
  <c r="BK715" i="148"/>
  <c r="BJ715" i="148"/>
  <c r="BL715" i="148"/>
  <c r="BK713" i="148"/>
  <c r="BJ713" i="148"/>
  <c r="BL713" i="148"/>
  <c r="BJ698" i="148"/>
  <c r="BL698" i="148"/>
  <c r="BK698" i="148"/>
  <c r="BK697" i="148"/>
  <c r="BJ697" i="148"/>
  <c r="BL697" i="148"/>
  <c r="BK693" i="148"/>
  <c r="BJ693" i="148"/>
  <c r="BL693" i="148"/>
  <c r="AX684" i="148"/>
  <c r="AZ684" i="148"/>
  <c r="AY684" i="148"/>
  <c r="W370" i="148"/>
  <c r="X371" i="148"/>
  <c r="X489" i="148"/>
  <c r="X488" i="148" s="1"/>
  <c r="Y490" i="148"/>
  <c r="X397" i="148"/>
  <c r="X689" i="148" s="1"/>
  <c r="Y398" i="148"/>
  <c r="BJ706" i="148"/>
  <c r="BL706" i="148"/>
  <c r="BK706" i="148"/>
  <c r="V613" i="148"/>
  <c r="U586" i="148"/>
  <c r="U723" i="148" s="1"/>
  <c r="V595" i="148"/>
  <c r="V724" i="148" s="1"/>
  <c r="V513" i="148"/>
  <c r="V709" i="148" s="1"/>
  <c r="V437" i="148"/>
  <c r="V501" i="148"/>
  <c r="V708" i="148" s="1"/>
  <c r="U562" i="148"/>
  <c r="U717" i="148" s="1"/>
  <c r="BK707" i="148" l="1"/>
  <c r="BJ707" i="148"/>
  <c r="BL707" i="148"/>
  <c r="X505" i="148"/>
  <c r="Y506" i="148"/>
  <c r="W517" i="148"/>
  <c r="X518" i="148"/>
  <c r="W491" i="148"/>
  <c r="W707" i="148" s="1"/>
  <c r="W499" i="148"/>
  <c r="X500" i="148"/>
  <c r="X502" i="148"/>
  <c r="Y503" i="148"/>
  <c r="BK709" i="148"/>
  <c r="BJ709" i="148"/>
  <c r="BL709" i="148"/>
  <c r="W685" i="148"/>
  <c r="BK718" i="148"/>
  <c r="BJ718" i="148"/>
  <c r="BL718" i="148"/>
  <c r="BJ710" i="148"/>
  <c r="BL710" i="148"/>
  <c r="BK710" i="148"/>
  <c r="AV684" i="148"/>
  <c r="AU684" i="148"/>
  <c r="AW684" i="148"/>
  <c r="BG693" i="148"/>
  <c r="BI693" i="148"/>
  <c r="BH693" i="148"/>
  <c r="BG697" i="148"/>
  <c r="BI697" i="148"/>
  <c r="BH697" i="148"/>
  <c r="BH702" i="148"/>
  <c r="BG702" i="148"/>
  <c r="BG715" i="148"/>
  <c r="BI715" i="148"/>
  <c r="BH715" i="148"/>
  <c r="BK720" i="148"/>
  <c r="BJ720" i="148"/>
  <c r="BL720" i="148"/>
  <c r="BJ729" i="148"/>
  <c r="BL729" i="148"/>
  <c r="BK729" i="148"/>
  <c r="BG687" i="148"/>
  <c r="BI687" i="148"/>
  <c r="BH687" i="148"/>
  <c r="V411" i="148"/>
  <c r="V691" i="148" s="1"/>
  <c r="V692" i="148"/>
  <c r="W420" i="148"/>
  <c r="W696" i="148"/>
  <c r="BG703" i="148"/>
  <c r="BI703" i="148"/>
  <c r="BH703" i="148"/>
  <c r="BH712" i="148"/>
  <c r="BG712" i="148"/>
  <c r="BI712" i="148"/>
  <c r="BH714" i="148"/>
  <c r="BG714" i="148"/>
  <c r="BI714" i="148"/>
  <c r="BK716" i="148"/>
  <c r="BL716" i="148"/>
  <c r="BJ716" i="148"/>
  <c r="BJ719" i="148"/>
  <c r="BL719" i="148"/>
  <c r="BK719" i="148"/>
  <c r="V580" i="148"/>
  <c r="V721" i="148" s="1"/>
  <c r="V722" i="148"/>
  <c r="BJ723" i="148"/>
  <c r="BL723" i="148"/>
  <c r="BK723" i="148"/>
  <c r="X701" i="148"/>
  <c r="V642" i="148"/>
  <c r="V733" i="148" s="1"/>
  <c r="V734" i="148"/>
  <c r="BJ735" i="148"/>
  <c r="BL735" i="148"/>
  <c r="BK735" i="148"/>
  <c r="BH739" i="148"/>
  <c r="BG739" i="148"/>
  <c r="BI739" i="148"/>
  <c r="Y603" i="148"/>
  <c r="X602" i="148"/>
  <c r="BE683" i="148"/>
  <c r="BD683" i="148"/>
  <c r="BF683" i="148"/>
  <c r="V419" i="148"/>
  <c r="V694" i="148" s="1"/>
  <c r="V695" i="148"/>
  <c r="W598" i="148"/>
  <c r="X599" i="148"/>
  <c r="Z349" i="148"/>
  <c r="AA350" i="148"/>
  <c r="V487" i="148"/>
  <c r="V705" i="148" s="1"/>
  <c r="W595" i="148"/>
  <c r="W724" i="148" s="1"/>
  <c r="W473" i="148"/>
  <c r="W472" i="148" s="1"/>
  <c r="W704" i="148" s="1"/>
  <c r="W523" i="148"/>
  <c r="V665" i="148"/>
  <c r="V738" i="148" s="1"/>
  <c r="U580" i="148"/>
  <c r="U721" i="148" s="1"/>
  <c r="W431" i="148"/>
  <c r="U612" i="148"/>
  <c r="U727" i="148" s="1"/>
  <c r="BJ708" i="148"/>
  <c r="BL708" i="148"/>
  <c r="BK708" i="148"/>
  <c r="BE689" i="148"/>
  <c r="BD689" i="148"/>
  <c r="BF689" i="148"/>
  <c r="X706" i="148"/>
  <c r="BK732" i="148"/>
  <c r="BJ732" i="148"/>
  <c r="BL732" i="148"/>
  <c r="V737" i="148"/>
  <c r="BK685" i="148"/>
  <c r="BJ685" i="148"/>
  <c r="BL685" i="148"/>
  <c r="BJ690" i="148"/>
  <c r="BL690" i="148"/>
  <c r="BK690" i="148"/>
  <c r="BH698" i="148"/>
  <c r="BG698" i="148"/>
  <c r="BI698" i="148"/>
  <c r="BH708" i="148"/>
  <c r="BG708" i="148"/>
  <c r="BI708" i="148"/>
  <c r="BG707" i="148"/>
  <c r="BI707" i="148"/>
  <c r="BH707" i="148"/>
  <c r="BG713" i="148"/>
  <c r="BI713" i="148"/>
  <c r="BH713" i="148"/>
  <c r="W718" i="148"/>
  <c r="V604" i="148"/>
  <c r="V725" i="148" s="1"/>
  <c r="V726" i="148"/>
  <c r="BK730" i="148"/>
  <c r="BJ730" i="148"/>
  <c r="BL730" i="148"/>
  <c r="W638" i="148"/>
  <c r="W731" i="148" s="1"/>
  <c r="W732" i="148"/>
  <c r="V702" i="148"/>
  <c r="V431" i="148"/>
  <c r="BK724" i="148"/>
  <c r="BJ724" i="148"/>
  <c r="BL724" i="148"/>
  <c r="V612" i="148"/>
  <c r="V727" i="148" s="1"/>
  <c r="V728" i="148"/>
  <c r="Z398" i="148"/>
  <c r="Y397" i="148"/>
  <c r="Y689" i="148" s="1"/>
  <c r="Z490" i="148"/>
  <c r="Y489" i="148"/>
  <c r="Y488" i="148" s="1"/>
  <c r="Y371" i="148"/>
  <c r="X370" i="148"/>
  <c r="BJ731" i="148"/>
  <c r="BL731" i="148"/>
  <c r="BK731" i="148"/>
  <c r="BK711" i="148"/>
  <c r="BJ711" i="148"/>
  <c r="BL711" i="148"/>
  <c r="S343" i="148"/>
  <c r="S680" i="148"/>
  <c r="BH706" i="148"/>
  <c r="BG706" i="148"/>
  <c r="BI706" i="148"/>
  <c r="AB360" i="148"/>
  <c r="AB684" i="148" s="1"/>
  <c r="AC361" i="148"/>
  <c r="W404" i="148"/>
  <c r="W690" i="148" s="1"/>
  <c r="X405" i="148"/>
  <c r="X416" i="148"/>
  <c r="X693" i="148" s="1"/>
  <c r="Y417" i="148"/>
  <c r="X424" i="148"/>
  <c r="X697" i="148" s="1"/>
  <c r="Y425" i="148"/>
  <c r="X427" i="148"/>
  <c r="X426" i="148" s="1"/>
  <c r="X698" i="148" s="1"/>
  <c r="Y428" i="148"/>
  <c r="X508" i="148"/>
  <c r="Y509" i="148"/>
  <c r="X438" i="148"/>
  <c r="Y439" i="148"/>
  <c r="X460" i="148"/>
  <c r="Y461" i="148"/>
  <c r="X482" i="148"/>
  <c r="Y483" i="148"/>
  <c r="X492" i="148"/>
  <c r="Y493" i="148"/>
  <c r="X514" i="148"/>
  <c r="Y515" i="148"/>
  <c r="X529" i="148"/>
  <c r="Y530" i="148"/>
  <c r="X539" i="148"/>
  <c r="X538" i="148" s="1"/>
  <c r="X713" i="148" s="1"/>
  <c r="Y540" i="148"/>
  <c r="X551" i="148"/>
  <c r="X550" i="148" s="1"/>
  <c r="X715" i="148" s="1"/>
  <c r="Y552" i="148"/>
  <c r="X564" i="148"/>
  <c r="X563" i="148" s="1"/>
  <c r="Y565" i="148"/>
  <c r="W577" i="148"/>
  <c r="W576" i="148" s="1"/>
  <c r="W720" i="148" s="1"/>
  <c r="X578" i="148"/>
  <c r="X584" i="148"/>
  <c r="Y585" i="148"/>
  <c r="X589" i="148"/>
  <c r="Y590" i="148"/>
  <c r="X596" i="148"/>
  <c r="Y597" i="148"/>
  <c r="W606" i="148"/>
  <c r="W605" i="148" s="1"/>
  <c r="X607" i="148"/>
  <c r="W622" i="148"/>
  <c r="W621" i="148" s="1"/>
  <c r="W729" i="148" s="1"/>
  <c r="X623" i="148"/>
  <c r="W629" i="148"/>
  <c r="X630" i="148"/>
  <c r="X634" i="148"/>
  <c r="Y635" i="148"/>
  <c r="X640" i="148"/>
  <c r="X639" i="148" s="1"/>
  <c r="Y641" i="148"/>
  <c r="X646" i="148"/>
  <c r="Y647" i="148"/>
  <c r="X653" i="148"/>
  <c r="Y654" i="148"/>
  <c r="W657" i="148"/>
  <c r="W652" i="148" s="1"/>
  <c r="X658" i="148"/>
  <c r="W669" i="148"/>
  <c r="X670" i="148"/>
  <c r="X382" i="148"/>
  <c r="X687" i="148" s="1"/>
  <c r="Y383" i="148"/>
  <c r="W412" i="148"/>
  <c r="X413" i="148"/>
  <c r="X421" i="148"/>
  <c r="Y422" i="148"/>
  <c r="X468" i="148"/>
  <c r="X703" i="148" s="1"/>
  <c r="Y469" i="148"/>
  <c r="W520" i="148"/>
  <c r="W513" i="148" s="1"/>
  <c r="X521" i="148"/>
  <c r="X447" i="148"/>
  <c r="Y448" i="148"/>
  <c r="X474" i="148"/>
  <c r="X473" i="148" s="1"/>
  <c r="X472" i="148" s="1"/>
  <c r="X704" i="148" s="1"/>
  <c r="Y475" i="148"/>
  <c r="X510" i="148"/>
  <c r="Y511" i="148"/>
  <c r="X524" i="148"/>
  <c r="X523" i="148" s="1"/>
  <c r="Y525" i="148"/>
  <c r="X533" i="148"/>
  <c r="X532" i="148" s="1"/>
  <c r="X712" i="148" s="1"/>
  <c r="Y534" i="148"/>
  <c r="X545" i="148"/>
  <c r="X544" i="148" s="1"/>
  <c r="X714" i="148" s="1"/>
  <c r="Y546" i="148"/>
  <c r="W556" i="148"/>
  <c r="W555" i="148" s="1"/>
  <c r="W716" i="148" s="1"/>
  <c r="X557" i="148"/>
  <c r="W573" i="148"/>
  <c r="W572" i="148" s="1"/>
  <c r="W719" i="148" s="1"/>
  <c r="X574" i="148"/>
  <c r="W582" i="148"/>
  <c r="W581" i="148" s="1"/>
  <c r="X583" i="148"/>
  <c r="W587" i="148"/>
  <c r="W586" i="148" s="1"/>
  <c r="W723" i="148" s="1"/>
  <c r="X588" i="148"/>
  <c r="W593" i="148"/>
  <c r="X594" i="148"/>
  <c r="Y432" i="148"/>
  <c r="Z433" i="148"/>
  <c r="X614" i="148"/>
  <c r="Y615" i="148"/>
  <c r="W618" i="148"/>
  <c r="W613" i="148" s="1"/>
  <c r="X619" i="148"/>
  <c r="X626" i="148"/>
  <c r="Y627" i="148"/>
  <c r="W632" i="148"/>
  <c r="X633" i="148"/>
  <c r="W636" i="148"/>
  <c r="X637" i="148"/>
  <c r="W644" i="148"/>
  <c r="W643" i="148" s="1"/>
  <c r="X645" i="148"/>
  <c r="W649" i="148"/>
  <c r="W648" i="148" s="1"/>
  <c r="W735" i="148" s="1"/>
  <c r="X650" i="148"/>
  <c r="W666" i="148"/>
  <c r="W665" i="148" s="1"/>
  <c r="W738" i="148" s="1"/>
  <c r="X667" i="148"/>
  <c r="X672" i="148"/>
  <c r="X671" i="148" s="1"/>
  <c r="X739" i="148" s="1"/>
  <c r="Y673" i="148"/>
  <c r="T346" i="148"/>
  <c r="T681" i="148"/>
  <c r="BJ696" i="148"/>
  <c r="BL696" i="148"/>
  <c r="BK696" i="148"/>
  <c r="BG701" i="148"/>
  <c r="BI701" i="148"/>
  <c r="BH701" i="148"/>
  <c r="Y683" i="148"/>
  <c r="V562" i="148"/>
  <c r="V717" i="148" s="1"/>
  <c r="V348" i="148"/>
  <c r="U347" i="148"/>
  <c r="Y502" i="148" l="1"/>
  <c r="Z503" i="148"/>
  <c r="X517" i="148"/>
  <c r="Y518" i="148"/>
  <c r="X499" i="148"/>
  <c r="Y500" i="148"/>
  <c r="X491" i="148"/>
  <c r="X707" i="148" s="1"/>
  <c r="Y505" i="148"/>
  <c r="Z506" i="148"/>
  <c r="W728" i="148"/>
  <c r="W709" i="148"/>
  <c r="W487" i="148"/>
  <c r="W705" i="148" s="1"/>
  <c r="V347" i="148"/>
  <c r="V682" i="148"/>
  <c r="W651" i="148"/>
  <c r="W736" i="148" s="1"/>
  <c r="W737" i="148"/>
  <c r="BG738" i="148"/>
  <c r="BI738" i="148"/>
  <c r="BH738" i="148"/>
  <c r="BH735" i="148"/>
  <c r="BG735" i="148"/>
  <c r="BI735" i="148"/>
  <c r="BH723" i="148"/>
  <c r="BG723" i="148"/>
  <c r="BI723" i="148"/>
  <c r="BH719" i="148"/>
  <c r="BG719" i="148"/>
  <c r="BI719" i="148"/>
  <c r="BD714" i="148"/>
  <c r="BF714" i="148"/>
  <c r="BE714" i="148"/>
  <c r="X711" i="148"/>
  <c r="BE703" i="148"/>
  <c r="BD703" i="148"/>
  <c r="BF703" i="148"/>
  <c r="BE687" i="148"/>
  <c r="BD687" i="148"/>
  <c r="BF687" i="148"/>
  <c r="X638" i="148"/>
  <c r="X731" i="148" s="1"/>
  <c r="X732" i="148"/>
  <c r="W604" i="148"/>
  <c r="W725" i="148" s="1"/>
  <c r="W726" i="148"/>
  <c r="X718" i="148"/>
  <c r="BE713" i="148"/>
  <c r="BD713" i="148"/>
  <c r="BF713" i="148"/>
  <c r="BE707" i="148"/>
  <c r="BD707" i="148"/>
  <c r="BF707" i="148"/>
  <c r="BD698" i="148"/>
  <c r="BF698" i="148"/>
  <c r="BE698" i="148"/>
  <c r="BE697" i="148"/>
  <c r="BD697" i="148"/>
  <c r="BF697" i="148"/>
  <c r="BE693" i="148"/>
  <c r="BD693" i="148"/>
  <c r="BF693" i="148"/>
  <c r="BH690" i="148"/>
  <c r="BG690" i="148"/>
  <c r="BI690" i="148"/>
  <c r="AR684" i="148"/>
  <c r="AT684" i="148"/>
  <c r="AS684" i="148"/>
  <c r="X685" i="148"/>
  <c r="Y706" i="148"/>
  <c r="BA689" i="148"/>
  <c r="BC689" i="148"/>
  <c r="BB689" i="148"/>
  <c r="BK728" i="148"/>
  <c r="BJ728" i="148"/>
  <c r="BL728" i="148"/>
  <c r="BJ702" i="148"/>
  <c r="BL702" i="148"/>
  <c r="BK702" i="148"/>
  <c r="BH731" i="148"/>
  <c r="BG731" i="148"/>
  <c r="BI731" i="148"/>
  <c r="BK726" i="148"/>
  <c r="BJ726" i="148"/>
  <c r="BL726" i="148"/>
  <c r="BG718" i="148"/>
  <c r="BI718" i="148"/>
  <c r="BH718" i="148"/>
  <c r="BJ737" i="148"/>
  <c r="BL737" i="148"/>
  <c r="BK737" i="148"/>
  <c r="W430" i="148"/>
  <c r="W699" i="148" s="1"/>
  <c r="W700" i="148"/>
  <c r="BK738" i="148"/>
  <c r="BJ738" i="148"/>
  <c r="BL738" i="148"/>
  <c r="W522" i="148"/>
  <c r="W710" i="148" s="1"/>
  <c r="W711" i="148"/>
  <c r="BG724" i="148"/>
  <c r="BI724" i="148"/>
  <c r="BH724" i="148"/>
  <c r="BK705" i="148"/>
  <c r="BJ705" i="148"/>
  <c r="BL705" i="148"/>
  <c r="Z683" i="148"/>
  <c r="BJ694" i="148"/>
  <c r="BL694" i="148"/>
  <c r="BK694" i="148"/>
  <c r="BK734" i="148"/>
  <c r="BJ734" i="148"/>
  <c r="BL734" i="148"/>
  <c r="BE701" i="148"/>
  <c r="BD701" i="148"/>
  <c r="BF701" i="148"/>
  <c r="BJ721" i="148"/>
  <c r="BL721" i="148"/>
  <c r="BK721" i="148"/>
  <c r="BH696" i="148"/>
  <c r="BG696" i="148"/>
  <c r="BI696" i="148"/>
  <c r="BJ692" i="148"/>
  <c r="BL692" i="148"/>
  <c r="BK692" i="148"/>
  <c r="X437" i="148"/>
  <c r="X501" i="148"/>
  <c r="X708" i="148" s="1"/>
  <c r="BI702" i="148"/>
  <c r="W348" i="148"/>
  <c r="T343" i="148"/>
  <c r="U343" i="148" s="1"/>
  <c r="T680" i="148"/>
  <c r="BD739" i="148"/>
  <c r="BF739" i="148"/>
  <c r="BE739" i="148"/>
  <c r="W642" i="148"/>
  <c r="W733" i="148" s="1"/>
  <c r="W734" i="148"/>
  <c r="Y701" i="148"/>
  <c r="W580" i="148"/>
  <c r="W721" i="148" s="1"/>
  <c r="W722" i="148"/>
  <c r="BG716" i="148"/>
  <c r="BI716" i="148"/>
  <c r="BH716" i="148"/>
  <c r="BD712" i="148"/>
  <c r="BF712" i="148"/>
  <c r="BE712" i="148"/>
  <c r="BD704" i="148"/>
  <c r="BF704" i="148"/>
  <c r="BE704" i="148"/>
  <c r="X420" i="148"/>
  <c r="X696" i="148"/>
  <c r="W411" i="148"/>
  <c r="W691" i="148" s="1"/>
  <c r="W692" i="148"/>
  <c r="BH729" i="148"/>
  <c r="BG729" i="148"/>
  <c r="BI729" i="148"/>
  <c r="BG720" i="148"/>
  <c r="BI720" i="148"/>
  <c r="BH720" i="148"/>
  <c r="BE715" i="148"/>
  <c r="BD715" i="148"/>
  <c r="BF715" i="148"/>
  <c r="U346" i="148"/>
  <c r="U680" i="148" s="1"/>
  <c r="U681" i="148"/>
  <c r="BJ717" i="148"/>
  <c r="BL717" i="148"/>
  <c r="BK717" i="148"/>
  <c r="BA683" i="148"/>
  <c r="BC683" i="148"/>
  <c r="BB683" i="148"/>
  <c r="Y672" i="148"/>
  <c r="Y671" i="148" s="1"/>
  <c r="Y739" i="148" s="1"/>
  <c r="Z673" i="148"/>
  <c r="X666" i="148"/>
  <c r="Y667" i="148"/>
  <c r="X649" i="148"/>
  <c r="X648" i="148" s="1"/>
  <c r="X735" i="148" s="1"/>
  <c r="Y650" i="148"/>
  <c r="X644" i="148"/>
  <c r="X643" i="148" s="1"/>
  <c r="Y645" i="148"/>
  <c r="X636" i="148"/>
  <c r="Y637" i="148"/>
  <c r="X632" i="148"/>
  <c r="Y633" i="148"/>
  <c r="Y626" i="148"/>
  <c r="Z627" i="148"/>
  <c r="X618" i="148"/>
  <c r="X613" i="148" s="1"/>
  <c r="Y619" i="148"/>
  <c r="Y614" i="148"/>
  <c r="Z615" i="148"/>
  <c r="Z432" i="148"/>
  <c r="AA433" i="148"/>
  <c r="X593" i="148"/>
  <c r="Y594" i="148"/>
  <c r="X587" i="148"/>
  <c r="Y588" i="148"/>
  <c r="X582" i="148"/>
  <c r="X581" i="148" s="1"/>
  <c r="Y583" i="148"/>
  <c r="X573" i="148"/>
  <c r="X572" i="148" s="1"/>
  <c r="X719" i="148" s="1"/>
  <c r="Y574" i="148"/>
  <c r="X556" i="148"/>
  <c r="X555" i="148" s="1"/>
  <c r="X716" i="148" s="1"/>
  <c r="Y557" i="148"/>
  <c r="Y545" i="148"/>
  <c r="Y544" i="148" s="1"/>
  <c r="Y714" i="148" s="1"/>
  <c r="Z546" i="148"/>
  <c r="Y533" i="148"/>
  <c r="Y532" i="148" s="1"/>
  <c r="Y712" i="148" s="1"/>
  <c r="Z534" i="148"/>
  <c r="Y524" i="148"/>
  <c r="Z525" i="148"/>
  <c r="Y510" i="148"/>
  <c r="Z511" i="148"/>
  <c r="Y474" i="148"/>
  <c r="Z475" i="148"/>
  <c r="Y447" i="148"/>
  <c r="Z448" i="148"/>
  <c r="X520" i="148"/>
  <c r="Y521" i="148"/>
  <c r="Y468" i="148"/>
  <c r="Y703" i="148" s="1"/>
  <c r="Z469" i="148"/>
  <c r="Y421" i="148"/>
  <c r="Z422" i="148"/>
  <c r="X412" i="148"/>
  <c r="Y413" i="148"/>
  <c r="Y382" i="148"/>
  <c r="Y687" i="148" s="1"/>
  <c r="Z383" i="148"/>
  <c r="X669" i="148"/>
  <c r="Y670" i="148"/>
  <c r="X657" i="148"/>
  <c r="X652" i="148" s="1"/>
  <c r="Y658" i="148"/>
  <c r="Y653" i="148"/>
  <c r="Z654" i="148"/>
  <c r="Y646" i="148"/>
  <c r="Z647" i="148"/>
  <c r="Y640" i="148"/>
  <c r="Y639" i="148" s="1"/>
  <c r="Z641" i="148"/>
  <c r="Y634" i="148"/>
  <c r="Z635" i="148"/>
  <c r="X629" i="148"/>
  <c r="X628" i="148" s="1"/>
  <c r="X730" i="148" s="1"/>
  <c r="Y630" i="148"/>
  <c r="X622" i="148"/>
  <c r="X621" i="148" s="1"/>
  <c r="X729" i="148" s="1"/>
  <c r="Y623" i="148"/>
  <c r="X606" i="148"/>
  <c r="X605" i="148" s="1"/>
  <c r="Y607" i="148"/>
  <c r="Y596" i="148"/>
  <c r="Z597" i="148"/>
  <c r="Y589" i="148"/>
  <c r="Z590" i="148"/>
  <c r="Y584" i="148"/>
  <c r="Z585" i="148"/>
  <c r="X577" i="148"/>
  <c r="X576" i="148" s="1"/>
  <c r="X720" i="148" s="1"/>
  <c r="Y578" i="148"/>
  <c r="Y564" i="148"/>
  <c r="Y563" i="148" s="1"/>
  <c r="Z565" i="148"/>
  <c r="Y551" i="148"/>
  <c r="Y550" i="148" s="1"/>
  <c r="Y715" i="148" s="1"/>
  <c r="Z552" i="148"/>
  <c r="Y539" i="148"/>
  <c r="Y538" i="148" s="1"/>
  <c r="Y713" i="148" s="1"/>
  <c r="Z540" i="148"/>
  <c r="Y529" i="148"/>
  <c r="Z530" i="148"/>
  <c r="Y514" i="148"/>
  <c r="Z515" i="148"/>
  <c r="Y492" i="148"/>
  <c r="Z493" i="148"/>
  <c r="Y482" i="148"/>
  <c r="Z483" i="148"/>
  <c r="Y460" i="148"/>
  <c r="Z461" i="148"/>
  <c r="Y438" i="148"/>
  <c r="Z439" i="148"/>
  <c r="Y508" i="148"/>
  <c r="Y501" i="148" s="1"/>
  <c r="Y708" i="148" s="1"/>
  <c r="Z509" i="148"/>
  <c r="Y427" i="148"/>
  <c r="Y426" i="148" s="1"/>
  <c r="Y698" i="148" s="1"/>
  <c r="Z428" i="148"/>
  <c r="Y424" i="148"/>
  <c r="Y697" i="148" s="1"/>
  <c r="Z425" i="148"/>
  <c r="Y416" i="148"/>
  <c r="Y693" i="148" s="1"/>
  <c r="Z417" i="148"/>
  <c r="X404" i="148"/>
  <c r="X690" i="148" s="1"/>
  <c r="Y405" i="148"/>
  <c r="AC360" i="148"/>
  <c r="AC684" i="148" s="1"/>
  <c r="AD361" i="148"/>
  <c r="Y370" i="148"/>
  <c r="Z371" i="148"/>
  <c r="Z489" i="148"/>
  <c r="Z488" i="148" s="1"/>
  <c r="AA490" i="148"/>
  <c r="Z397" i="148"/>
  <c r="Z689" i="148" s="1"/>
  <c r="AA398" i="148"/>
  <c r="BJ727" i="148"/>
  <c r="BL727" i="148"/>
  <c r="BK727" i="148"/>
  <c r="V430" i="148"/>
  <c r="V699" i="148" s="1"/>
  <c r="V700" i="148"/>
  <c r="BG732" i="148"/>
  <c r="BI732" i="148"/>
  <c r="BH732" i="148"/>
  <c r="BJ725" i="148"/>
  <c r="BL725" i="148"/>
  <c r="BK725" i="148"/>
  <c r="BD706" i="148"/>
  <c r="BF706" i="148"/>
  <c r="BE706" i="148"/>
  <c r="BH704" i="148"/>
  <c r="BG704" i="148"/>
  <c r="BI704" i="148"/>
  <c r="AB350" i="148"/>
  <c r="AA349" i="148"/>
  <c r="X598" i="148"/>
  <c r="Y599" i="148"/>
  <c r="BK695" i="148"/>
  <c r="BJ695" i="148"/>
  <c r="BL695" i="148"/>
  <c r="Y602" i="148"/>
  <c r="Z603" i="148"/>
  <c r="BJ733" i="148"/>
  <c r="BL733" i="148"/>
  <c r="BK733" i="148"/>
  <c r="BK722" i="148"/>
  <c r="BJ722" i="148"/>
  <c r="BL722" i="148"/>
  <c r="W419" i="148"/>
  <c r="W694" i="148" s="1"/>
  <c r="W695" i="148"/>
  <c r="BK691" i="148"/>
  <c r="BJ691" i="148"/>
  <c r="BL691" i="148"/>
  <c r="BG685" i="148"/>
  <c r="BI685" i="148"/>
  <c r="BH685" i="148"/>
  <c r="W628" i="148"/>
  <c r="W730" i="148" s="1"/>
  <c r="X595" i="148"/>
  <c r="X724" i="148" s="1"/>
  <c r="X513" i="148"/>
  <c r="X709" i="148" s="1"/>
  <c r="W562" i="148"/>
  <c r="W717" i="148" s="1"/>
  <c r="V651" i="148"/>
  <c r="V736" i="148" s="1"/>
  <c r="Y517" i="148" l="1"/>
  <c r="Z518" i="148"/>
  <c r="X586" i="148"/>
  <c r="X723" i="148" s="1"/>
  <c r="Y499" i="148"/>
  <c r="Y491" i="148" s="1"/>
  <c r="Y707" i="148" s="1"/>
  <c r="Z500" i="148"/>
  <c r="Z502" i="148"/>
  <c r="AA503" i="148"/>
  <c r="Y437" i="148"/>
  <c r="Y702" i="148" s="1"/>
  <c r="Z505" i="148"/>
  <c r="AA506" i="148"/>
  <c r="X737" i="148"/>
  <c r="X612" i="148"/>
  <c r="X727" i="148" s="1"/>
  <c r="X728" i="148"/>
  <c r="BE709" i="148"/>
  <c r="BD709" i="148"/>
  <c r="BF709" i="148"/>
  <c r="AA683" i="148"/>
  <c r="BJ700" i="148"/>
  <c r="BL700" i="148"/>
  <c r="BK700" i="148"/>
  <c r="Z706" i="148"/>
  <c r="AP684" i="148"/>
  <c r="AO684" i="148"/>
  <c r="AQ684" i="148"/>
  <c r="BA693" i="148"/>
  <c r="BC693" i="148"/>
  <c r="BB693" i="148"/>
  <c r="BA697" i="148"/>
  <c r="BC697" i="148"/>
  <c r="BB697" i="148"/>
  <c r="BB702" i="148"/>
  <c r="BA702" i="148"/>
  <c r="BA713" i="148"/>
  <c r="BC713" i="148"/>
  <c r="BB713" i="148"/>
  <c r="Y718" i="148"/>
  <c r="X604" i="148"/>
  <c r="X725" i="148" s="1"/>
  <c r="X726" i="148"/>
  <c r="BE730" i="148"/>
  <c r="BD730" i="148"/>
  <c r="BF730" i="148"/>
  <c r="Y638" i="148"/>
  <c r="Y731" i="148" s="1"/>
  <c r="Y732" i="148"/>
  <c r="BA687" i="148"/>
  <c r="BC687" i="148"/>
  <c r="BB687" i="148"/>
  <c r="Y420" i="148"/>
  <c r="Y696" i="148"/>
  <c r="BA703" i="148"/>
  <c r="BC703" i="148"/>
  <c r="BB703" i="148"/>
  <c r="BB712" i="148"/>
  <c r="BA712" i="148"/>
  <c r="BC712" i="148"/>
  <c r="BB714" i="148"/>
  <c r="BA714" i="148"/>
  <c r="BC714" i="148"/>
  <c r="BD716" i="148"/>
  <c r="BF716" i="148"/>
  <c r="BE716" i="148"/>
  <c r="BD719" i="148"/>
  <c r="BF719" i="148"/>
  <c r="BE719" i="148"/>
  <c r="X580" i="148"/>
  <c r="X721" i="148" s="1"/>
  <c r="X722" i="148"/>
  <c r="BD723" i="148"/>
  <c r="BF723" i="148"/>
  <c r="BE723" i="148"/>
  <c r="Z701" i="148"/>
  <c r="X642" i="148"/>
  <c r="X733" i="148" s="1"/>
  <c r="X734" i="148"/>
  <c r="BD735" i="148"/>
  <c r="BF735" i="148"/>
  <c r="BE735" i="148"/>
  <c r="BB739" i="148"/>
  <c r="BA739" i="148"/>
  <c r="BC739" i="148"/>
  <c r="BH692" i="148"/>
  <c r="BG692" i="148"/>
  <c r="BI692" i="148"/>
  <c r="BD696" i="148"/>
  <c r="BF696" i="148"/>
  <c r="BE696" i="148"/>
  <c r="BH721" i="148"/>
  <c r="BG721" i="148"/>
  <c r="BI721" i="148"/>
  <c r="BH733" i="148"/>
  <c r="BG733" i="148"/>
  <c r="BI733" i="148"/>
  <c r="W347" i="148"/>
  <c r="W682" i="148"/>
  <c r="X702" i="148"/>
  <c r="X431" i="148"/>
  <c r="BH710" i="148"/>
  <c r="BG710" i="148"/>
  <c r="BI710" i="148"/>
  <c r="BH700" i="148"/>
  <c r="BG700" i="148"/>
  <c r="BI700" i="148"/>
  <c r="BE685" i="148"/>
  <c r="BD685" i="148"/>
  <c r="BF685" i="148"/>
  <c r="BE718" i="148"/>
  <c r="BF718" i="148"/>
  <c r="BD718" i="148"/>
  <c r="BG726" i="148"/>
  <c r="BI726" i="148"/>
  <c r="BH726" i="148"/>
  <c r="BE732" i="148"/>
  <c r="BD732" i="148"/>
  <c r="BF732" i="148"/>
  <c r="BE711" i="148"/>
  <c r="BD711" i="148"/>
  <c r="BF711" i="148"/>
  <c r="BG736" i="148"/>
  <c r="BI736" i="148"/>
  <c r="BH736" i="148"/>
  <c r="V346" i="148"/>
  <c r="V680" i="148" s="1"/>
  <c r="V681" i="148"/>
  <c r="BG709" i="148"/>
  <c r="BI709" i="148"/>
  <c r="BH709" i="148"/>
  <c r="Y473" i="148"/>
  <c r="Y472" i="148" s="1"/>
  <c r="Y704" i="148" s="1"/>
  <c r="Y523" i="148"/>
  <c r="X665" i="148"/>
  <c r="X738" i="148" s="1"/>
  <c r="Y431" i="148"/>
  <c r="X487" i="148"/>
  <c r="X705" i="148" s="1"/>
  <c r="W612" i="148"/>
  <c r="W727" i="148" s="1"/>
  <c r="BK736" i="148"/>
  <c r="BJ736" i="148"/>
  <c r="BL736" i="148"/>
  <c r="BG730" i="148"/>
  <c r="BI730" i="148"/>
  <c r="BH730" i="148"/>
  <c r="BH694" i="148"/>
  <c r="BG694" i="148"/>
  <c r="BI694" i="148"/>
  <c r="Z599" i="148"/>
  <c r="Y598" i="148"/>
  <c r="AY689" i="148"/>
  <c r="AX689" i="148"/>
  <c r="AZ689" i="148"/>
  <c r="Y685" i="148"/>
  <c r="BD690" i="148"/>
  <c r="BF690" i="148"/>
  <c r="BE690" i="148"/>
  <c r="BB698" i="148"/>
  <c r="BA698" i="148"/>
  <c r="BC698" i="148"/>
  <c r="BB708" i="148"/>
  <c r="BA708" i="148"/>
  <c r="BC708" i="148"/>
  <c r="BA715" i="148"/>
  <c r="BC715" i="148"/>
  <c r="BB715" i="148"/>
  <c r="BE720" i="148"/>
  <c r="BD720" i="148"/>
  <c r="BF720" i="148"/>
  <c r="BD729" i="148"/>
  <c r="BF729" i="148"/>
  <c r="BE729" i="148"/>
  <c r="X411" i="148"/>
  <c r="X691" i="148" s="1"/>
  <c r="X692" i="148"/>
  <c r="BH717" i="148"/>
  <c r="BG717" i="148"/>
  <c r="BI717" i="148"/>
  <c r="BE724" i="148"/>
  <c r="BD724" i="148"/>
  <c r="BF724" i="148"/>
  <c r="BG695" i="148"/>
  <c r="BI695" i="148"/>
  <c r="BH695" i="148"/>
  <c r="Z602" i="148"/>
  <c r="AA603" i="148"/>
  <c r="AB349" i="148"/>
  <c r="AC350" i="148"/>
  <c r="BK699" i="148"/>
  <c r="BJ699" i="148"/>
  <c r="BL699" i="148"/>
  <c r="AB398" i="148"/>
  <c r="AA397" i="148"/>
  <c r="AA689" i="148" s="1"/>
  <c r="AB490" i="148"/>
  <c r="AA489" i="148"/>
  <c r="AA488" i="148" s="1"/>
  <c r="AA371" i="148"/>
  <c r="Z370" i="148"/>
  <c r="AD360" i="148"/>
  <c r="AD684" i="148" s="1"/>
  <c r="AE361" i="148"/>
  <c r="Y404" i="148"/>
  <c r="Y690" i="148" s="1"/>
  <c r="Z405" i="148"/>
  <c r="Z416" i="148"/>
  <c r="Z693" i="148" s="1"/>
  <c r="AA417" i="148"/>
  <c r="Z424" i="148"/>
  <c r="Z697" i="148" s="1"/>
  <c r="AA425" i="148"/>
  <c r="Z427" i="148"/>
  <c r="Z426" i="148" s="1"/>
  <c r="Z698" i="148" s="1"/>
  <c r="AA428" i="148"/>
  <c r="Z508" i="148"/>
  <c r="AA509" i="148"/>
  <c r="Z438" i="148"/>
  <c r="AA439" i="148"/>
  <c r="Z460" i="148"/>
  <c r="AA461" i="148"/>
  <c r="Z482" i="148"/>
  <c r="AA483" i="148"/>
  <c r="Z492" i="148"/>
  <c r="AA493" i="148"/>
  <c r="Z514" i="148"/>
  <c r="AA515" i="148"/>
  <c r="Z529" i="148"/>
  <c r="AA530" i="148"/>
  <c r="Z539" i="148"/>
  <c r="Z538" i="148" s="1"/>
  <c r="Z713" i="148" s="1"/>
  <c r="AA540" i="148"/>
  <c r="Z551" i="148"/>
  <c r="Z550" i="148" s="1"/>
  <c r="Z715" i="148" s="1"/>
  <c r="AA552" i="148"/>
  <c r="Z564" i="148"/>
  <c r="Z563" i="148" s="1"/>
  <c r="AA565" i="148"/>
  <c r="Y577" i="148"/>
  <c r="Y576" i="148" s="1"/>
  <c r="Y720" i="148" s="1"/>
  <c r="Z578" i="148"/>
  <c r="Z584" i="148"/>
  <c r="AA585" i="148"/>
  <c r="Z589" i="148"/>
  <c r="AA590" i="148"/>
  <c r="Z596" i="148"/>
  <c r="AA597" i="148"/>
  <c r="Y606" i="148"/>
  <c r="Y605" i="148" s="1"/>
  <c r="Z607" i="148"/>
  <c r="Y622" i="148"/>
  <c r="Y621" i="148" s="1"/>
  <c r="Y729" i="148" s="1"/>
  <c r="Z623" i="148"/>
  <c r="Y629" i="148"/>
  <c r="Z630" i="148"/>
  <c r="Z634" i="148"/>
  <c r="AA635" i="148"/>
  <c r="Z640" i="148"/>
  <c r="Z639" i="148" s="1"/>
  <c r="AA641" i="148"/>
  <c r="Z646" i="148"/>
  <c r="AA647" i="148"/>
  <c r="Z653" i="148"/>
  <c r="AA654" i="148"/>
  <c r="Y657" i="148"/>
  <c r="Z658" i="148"/>
  <c r="Y669" i="148"/>
  <c r="Z670" i="148"/>
  <c r="Z382" i="148"/>
  <c r="Z687" i="148" s="1"/>
  <c r="AA383" i="148"/>
  <c r="Y412" i="148"/>
  <c r="Z413" i="148"/>
  <c r="Z421" i="148"/>
  <c r="AA422" i="148"/>
  <c r="Z468" i="148"/>
  <c r="Z703" i="148" s="1"/>
  <c r="AA469" i="148"/>
  <c r="Y520" i="148"/>
  <c r="Y513" i="148" s="1"/>
  <c r="Z521" i="148"/>
  <c r="Z447" i="148"/>
  <c r="AA448" i="148"/>
  <c r="Z474" i="148"/>
  <c r="Z473" i="148" s="1"/>
  <c r="Z472" i="148" s="1"/>
  <c r="Z704" i="148" s="1"/>
  <c r="AA475" i="148"/>
  <c r="Z510" i="148"/>
  <c r="AA511" i="148"/>
  <c r="Z524" i="148"/>
  <c r="Z523" i="148" s="1"/>
  <c r="AA525" i="148"/>
  <c r="Z533" i="148"/>
  <c r="Z532" i="148" s="1"/>
  <c r="Z712" i="148" s="1"/>
  <c r="AA534" i="148"/>
  <c r="Z545" i="148"/>
  <c r="Z544" i="148" s="1"/>
  <c r="Z714" i="148" s="1"/>
  <c r="AA546" i="148"/>
  <c r="Y556" i="148"/>
  <c r="Y555" i="148" s="1"/>
  <c r="Y716" i="148" s="1"/>
  <c r="Z557" i="148"/>
  <c r="Y573" i="148"/>
  <c r="Y572" i="148" s="1"/>
  <c r="Y719" i="148" s="1"/>
  <c r="Z574" i="148"/>
  <c r="Y582" i="148"/>
  <c r="Y581" i="148" s="1"/>
  <c r="Z583" i="148"/>
  <c r="Y587" i="148"/>
  <c r="Z588" i="148"/>
  <c r="Y593" i="148"/>
  <c r="Z594" i="148"/>
  <c r="AA432" i="148"/>
  <c r="AB433" i="148"/>
  <c r="Z614" i="148"/>
  <c r="AA615" i="148"/>
  <c r="Y618" i="148"/>
  <c r="Y613" i="148" s="1"/>
  <c r="Z619" i="148"/>
  <c r="Z626" i="148"/>
  <c r="AA627" i="148"/>
  <c r="Y632" i="148"/>
  <c r="Z633" i="148"/>
  <c r="Y636" i="148"/>
  <c r="Z637" i="148"/>
  <c r="Y644" i="148"/>
  <c r="Y643" i="148" s="1"/>
  <c r="Z645" i="148"/>
  <c r="Y649" i="148"/>
  <c r="Y648" i="148" s="1"/>
  <c r="Y735" i="148" s="1"/>
  <c r="Z650" i="148"/>
  <c r="Y666" i="148"/>
  <c r="Y665" i="148" s="1"/>
  <c r="Y738" i="148" s="1"/>
  <c r="Z667" i="148"/>
  <c r="Z672" i="148"/>
  <c r="Z671" i="148" s="1"/>
  <c r="Z739" i="148" s="1"/>
  <c r="AA673" i="148"/>
  <c r="BG691" i="148"/>
  <c r="BI691" i="148"/>
  <c r="BH691" i="148"/>
  <c r="X419" i="148"/>
  <c r="X694" i="148" s="1"/>
  <c r="X695" i="148"/>
  <c r="BG722" i="148"/>
  <c r="BI722" i="148"/>
  <c r="BH722" i="148"/>
  <c r="BA701" i="148"/>
  <c r="BC701" i="148"/>
  <c r="BB701" i="148"/>
  <c r="BG734" i="148"/>
  <c r="BI734" i="148"/>
  <c r="BH734" i="148"/>
  <c r="BD708" i="148"/>
  <c r="BF708" i="148"/>
  <c r="BE708" i="148"/>
  <c r="AY683" i="148"/>
  <c r="AX683" i="148"/>
  <c r="AZ683" i="148"/>
  <c r="BG711" i="148"/>
  <c r="BI711" i="148"/>
  <c r="BH711" i="148"/>
  <c r="BG699" i="148"/>
  <c r="BI699" i="148"/>
  <c r="BH699" i="148"/>
  <c r="BB706" i="148"/>
  <c r="BA706" i="148"/>
  <c r="BC706" i="148"/>
  <c r="BH725" i="148"/>
  <c r="BG725" i="148"/>
  <c r="BI725" i="148"/>
  <c r="BD731" i="148"/>
  <c r="BF731" i="148"/>
  <c r="BE731" i="148"/>
  <c r="BH737" i="148"/>
  <c r="BG737" i="148"/>
  <c r="BI737" i="148"/>
  <c r="BJ682" i="148"/>
  <c r="BL682" i="148"/>
  <c r="BK682" i="148"/>
  <c r="BG705" i="148"/>
  <c r="BI705" i="148"/>
  <c r="BH705" i="148"/>
  <c r="BG728" i="148"/>
  <c r="BI728" i="148"/>
  <c r="BH728" i="148"/>
  <c r="Y595" i="148"/>
  <c r="Y724" i="148" s="1"/>
  <c r="Y652" i="148"/>
  <c r="X348" i="148"/>
  <c r="X562" i="148"/>
  <c r="X717" i="148" s="1"/>
  <c r="X522" i="148"/>
  <c r="X710" i="148" s="1"/>
  <c r="BA707" i="148" l="1"/>
  <c r="BC707" i="148"/>
  <c r="BB707" i="148"/>
  <c r="AA502" i="148"/>
  <c r="AB503" i="148"/>
  <c r="AA505" i="148"/>
  <c r="AB506" i="148"/>
  <c r="Z499" i="148"/>
  <c r="Z491" i="148" s="1"/>
  <c r="Z707" i="148" s="1"/>
  <c r="AA500" i="148"/>
  <c r="Z517" i="148"/>
  <c r="AA518" i="148"/>
  <c r="Y728" i="148"/>
  <c r="Y709" i="148"/>
  <c r="Y487" i="148"/>
  <c r="Y705" i="148" s="1"/>
  <c r="Y651" i="148"/>
  <c r="Y736" i="148" s="1"/>
  <c r="Y737" i="148"/>
  <c r="BA738" i="148"/>
  <c r="BC738" i="148"/>
  <c r="BB738" i="148"/>
  <c r="Y642" i="148"/>
  <c r="Y733" i="148" s="1"/>
  <c r="Y734" i="148"/>
  <c r="Y722" i="148"/>
  <c r="BB716" i="148"/>
  <c r="BA716" i="148"/>
  <c r="BC716" i="148"/>
  <c r="AX712" i="148"/>
  <c r="AZ712" i="148"/>
  <c r="AY712" i="148"/>
  <c r="AX704" i="148"/>
  <c r="AZ704" i="148"/>
  <c r="AY704" i="148"/>
  <c r="Z420" i="148"/>
  <c r="Z696" i="148"/>
  <c r="AY687" i="148"/>
  <c r="AX687" i="148"/>
  <c r="AZ687" i="148"/>
  <c r="Z638" i="148"/>
  <c r="Z731" i="148" s="1"/>
  <c r="Z732" i="148"/>
  <c r="BB729" i="148"/>
  <c r="BA729" i="148"/>
  <c r="BC729" i="148"/>
  <c r="Y604" i="148"/>
  <c r="Y725" i="148" s="1"/>
  <c r="Y726" i="148"/>
  <c r="BA720" i="148"/>
  <c r="BC720" i="148"/>
  <c r="BB720" i="148"/>
  <c r="Z718" i="148"/>
  <c r="AY715" i="148"/>
  <c r="AX715" i="148"/>
  <c r="AZ715" i="148"/>
  <c r="AY713" i="148"/>
  <c r="AX713" i="148"/>
  <c r="AZ713" i="148"/>
  <c r="AX698" i="148"/>
  <c r="AZ698" i="148"/>
  <c r="AY698" i="148"/>
  <c r="AY697" i="148"/>
  <c r="AX697" i="148"/>
  <c r="AZ697" i="148"/>
  <c r="AY693" i="148"/>
  <c r="AX693" i="148"/>
  <c r="AZ693" i="148"/>
  <c r="BB690" i="148"/>
  <c r="BA690" i="148"/>
  <c r="BC690" i="148"/>
  <c r="AL684" i="148"/>
  <c r="AN684" i="148"/>
  <c r="AM684" i="148"/>
  <c r="AA370" i="148"/>
  <c r="AB371" i="148"/>
  <c r="AB489" i="148"/>
  <c r="AB488" i="148" s="1"/>
  <c r="AC490" i="148"/>
  <c r="AB397" i="148"/>
  <c r="AB689" i="148" s="1"/>
  <c r="AC398" i="148"/>
  <c r="AD350" i="148"/>
  <c r="AC349" i="148"/>
  <c r="AA602" i="148"/>
  <c r="AB603" i="148"/>
  <c r="BE691" i="148"/>
  <c r="BD691" i="148"/>
  <c r="BF691" i="148"/>
  <c r="Z598" i="148"/>
  <c r="AA599" i="148"/>
  <c r="BH727" i="148"/>
  <c r="BG727" i="148"/>
  <c r="BI727" i="148"/>
  <c r="BE705" i="148"/>
  <c r="BD705" i="148"/>
  <c r="BF705" i="148"/>
  <c r="BE738" i="148"/>
  <c r="BD738" i="148"/>
  <c r="BF738" i="148"/>
  <c r="Y522" i="148"/>
  <c r="Y710" i="148" s="1"/>
  <c r="Y711" i="148"/>
  <c r="BK681" i="148"/>
  <c r="BJ681" i="148"/>
  <c r="BL681" i="148"/>
  <c r="X430" i="148"/>
  <c r="X699" i="148" s="1"/>
  <c r="X700" i="148"/>
  <c r="BH682" i="148"/>
  <c r="BG682" i="148"/>
  <c r="BI682" i="148"/>
  <c r="BE734" i="148"/>
  <c r="BD734" i="148"/>
  <c r="BF734" i="148"/>
  <c r="AY701" i="148"/>
  <c r="AX701" i="148"/>
  <c r="AZ701" i="148"/>
  <c r="BD721" i="148"/>
  <c r="BF721" i="148"/>
  <c r="BE721" i="148"/>
  <c r="BB696" i="148"/>
  <c r="BA696" i="148"/>
  <c r="BC696" i="148"/>
  <c r="BB731" i="148"/>
  <c r="BA731" i="148"/>
  <c r="BC731" i="148"/>
  <c r="BE726" i="148"/>
  <c r="BD726" i="148"/>
  <c r="BF726" i="148"/>
  <c r="BA718" i="148"/>
  <c r="BC718" i="148"/>
  <c r="BB718" i="148"/>
  <c r="AU683" i="148"/>
  <c r="AW683" i="148"/>
  <c r="AV683" i="148"/>
  <c r="BD727" i="148"/>
  <c r="BF727" i="148"/>
  <c r="BE727" i="148"/>
  <c r="Z595" i="148"/>
  <c r="Z724" i="148" s="1"/>
  <c r="Z437" i="148"/>
  <c r="Z501" i="148"/>
  <c r="Z708" i="148" s="1"/>
  <c r="Y348" i="148"/>
  <c r="X651" i="148"/>
  <c r="X736" i="148" s="1"/>
  <c r="BD717" i="148"/>
  <c r="BF717" i="148"/>
  <c r="BE717" i="148"/>
  <c r="BE695" i="148"/>
  <c r="BD695" i="148"/>
  <c r="BF695" i="148"/>
  <c r="AX739" i="148"/>
  <c r="AZ739" i="148"/>
  <c r="AY739" i="148"/>
  <c r="BB735" i="148"/>
  <c r="BA735" i="148"/>
  <c r="BC735" i="148"/>
  <c r="AA701" i="148"/>
  <c r="BB719" i="148"/>
  <c r="BA719" i="148"/>
  <c r="BC719" i="148"/>
  <c r="AX714" i="148"/>
  <c r="AZ714" i="148"/>
  <c r="AY714" i="148"/>
  <c r="Z711" i="148"/>
  <c r="AY703" i="148"/>
  <c r="AX703" i="148"/>
  <c r="AZ703" i="148"/>
  <c r="Y411" i="148"/>
  <c r="Y691" i="148" s="1"/>
  <c r="Y692" i="148"/>
  <c r="BD710" i="148"/>
  <c r="BF710" i="148"/>
  <c r="BE710" i="148"/>
  <c r="X347" i="148"/>
  <c r="X682" i="148"/>
  <c r="BA724" i="148"/>
  <c r="BC724" i="148"/>
  <c r="BB724" i="148"/>
  <c r="BD694" i="148"/>
  <c r="BF694" i="148"/>
  <c r="BE694" i="148"/>
  <c r="AA672" i="148"/>
  <c r="AA671" i="148" s="1"/>
  <c r="AA739" i="148" s="1"/>
  <c r="AB673" i="148"/>
  <c r="Z666" i="148"/>
  <c r="AA667" i="148"/>
  <c r="Z649" i="148"/>
  <c r="Z648" i="148" s="1"/>
  <c r="Z735" i="148" s="1"/>
  <c r="AA650" i="148"/>
  <c r="Z644" i="148"/>
  <c r="Z643" i="148" s="1"/>
  <c r="AA645" i="148"/>
  <c r="Z636" i="148"/>
  <c r="AA637" i="148"/>
  <c r="Z632" i="148"/>
  <c r="AA633" i="148"/>
  <c r="AA626" i="148"/>
  <c r="AB627" i="148"/>
  <c r="Z618" i="148"/>
  <c r="Z613" i="148" s="1"/>
  <c r="AA619" i="148"/>
  <c r="AA614" i="148"/>
  <c r="AB615" i="148"/>
  <c r="AB432" i="148"/>
  <c r="AC433" i="148"/>
  <c r="Z593" i="148"/>
  <c r="AA594" i="148"/>
  <c r="Z587" i="148"/>
  <c r="Z586" i="148" s="1"/>
  <c r="Z723" i="148" s="1"/>
  <c r="AA588" i="148"/>
  <c r="Z582" i="148"/>
  <c r="Z581" i="148" s="1"/>
  <c r="AA583" i="148"/>
  <c r="Z573" i="148"/>
  <c r="Z572" i="148" s="1"/>
  <c r="Z719" i="148" s="1"/>
  <c r="AA574" i="148"/>
  <c r="Z556" i="148"/>
  <c r="Z555" i="148" s="1"/>
  <c r="Z716" i="148" s="1"/>
  <c r="AA557" i="148"/>
  <c r="AA545" i="148"/>
  <c r="AA544" i="148" s="1"/>
  <c r="AA714" i="148" s="1"/>
  <c r="AB546" i="148"/>
  <c r="AA533" i="148"/>
  <c r="AA532" i="148" s="1"/>
  <c r="AA712" i="148" s="1"/>
  <c r="AB534" i="148"/>
  <c r="AA524" i="148"/>
  <c r="AB525" i="148"/>
  <c r="AA510" i="148"/>
  <c r="AB511" i="148"/>
  <c r="AA474" i="148"/>
  <c r="AB475" i="148"/>
  <c r="AA447" i="148"/>
  <c r="AB448" i="148"/>
  <c r="Z520" i="148"/>
  <c r="Z513" i="148" s="1"/>
  <c r="AA521" i="148"/>
  <c r="AA468" i="148"/>
  <c r="AA703" i="148" s="1"/>
  <c r="AB469" i="148"/>
  <c r="AA421" i="148"/>
  <c r="AB422" i="148"/>
  <c r="Z412" i="148"/>
  <c r="AA413" i="148"/>
  <c r="AA382" i="148"/>
  <c r="AA687" i="148" s="1"/>
  <c r="AB383" i="148"/>
  <c r="Z669" i="148"/>
  <c r="AA670" i="148"/>
  <c r="Z657" i="148"/>
  <c r="Z652" i="148" s="1"/>
  <c r="AA658" i="148"/>
  <c r="AA653" i="148"/>
  <c r="AB654" i="148"/>
  <c r="AA646" i="148"/>
  <c r="AB647" i="148"/>
  <c r="AA640" i="148"/>
  <c r="AA639" i="148" s="1"/>
  <c r="AB641" i="148"/>
  <c r="AA634" i="148"/>
  <c r="AB635" i="148"/>
  <c r="Z629" i="148"/>
  <c r="Z628" i="148" s="1"/>
  <c r="Z730" i="148" s="1"/>
  <c r="AA630" i="148"/>
  <c r="Z622" i="148"/>
  <c r="Z621" i="148" s="1"/>
  <c r="Z729" i="148" s="1"/>
  <c r="AA623" i="148"/>
  <c r="Z606" i="148"/>
  <c r="Z605" i="148" s="1"/>
  <c r="AA607" i="148"/>
  <c r="AA596" i="148"/>
  <c r="AB597" i="148"/>
  <c r="AA589" i="148"/>
  <c r="AB590" i="148"/>
  <c r="AA584" i="148"/>
  <c r="AB585" i="148"/>
  <c r="Z577" i="148"/>
  <c r="Z576" i="148" s="1"/>
  <c r="Z720" i="148" s="1"/>
  <c r="AA578" i="148"/>
  <c r="AA564" i="148"/>
  <c r="AA563" i="148" s="1"/>
  <c r="AB565" i="148"/>
  <c r="AA551" i="148"/>
  <c r="AA550" i="148" s="1"/>
  <c r="AA715" i="148" s="1"/>
  <c r="AB552" i="148"/>
  <c r="AA539" i="148"/>
  <c r="AA538" i="148" s="1"/>
  <c r="AA713" i="148" s="1"/>
  <c r="AB540" i="148"/>
  <c r="AA529" i="148"/>
  <c r="AB530" i="148"/>
  <c r="AA514" i="148"/>
  <c r="AB515" i="148"/>
  <c r="AA492" i="148"/>
  <c r="AB493" i="148"/>
  <c r="AA482" i="148"/>
  <c r="AB483" i="148"/>
  <c r="AA460" i="148"/>
  <c r="AB461" i="148"/>
  <c r="AA438" i="148"/>
  <c r="AB439" i="148"/>
  <c r="AA508" i="148"/>
  <c r="AA501" i="148" s="1"/>
  <c r="AA708" i="148" s="1"/>
  <c r="AB509" i="148"/>
  <c r="AA427" i="148"/>
  <c r="AA426" i="148" s="1"/>
  <c r="AA698" i="148" s="1"/>
  <c r="AB428" i="148"/>
  <c r="AA424" i="148"/>
  <c r="AA697" i="148" s="1"/>
  <c r="AB425" i="148"/>
  <c r="AA416" i="148"/>
  <c r="AA693" i="148" s="1"/>
  <c r="AB417" i="148"/>
  <c r="Z404" i="148"/>
  <c r="Z690" i="148" s="1"/>
  <c r="AA405" i="148"/>
  <c r="AE360" i="148"/>
  <c r="AE684" i="148" s="1"/>
  <c r="AF361" i="148"/>
  <c r="AF360" i="148" s="1"/>
  <c r="AF684" i="148" s="1"/>
  <c r="Z685" i="148"/>
  <c r="AA706" i="148"/>
  <c r="AU689" i="148"/>
  <c r="AW689" i="148"/>
  <c r="AV689" i="148"/>
  <c r="AB683" i="148"/>
  <c r="BD692" i="148"/>
  <c r="BF692" i="148"/>
  <c r="BE692" i="148"/>
  <c r="BA685" i="148"/>
  <c r="BC685" i="148"/>
  <c r="BB685" i="148"/>
  <c r="Y430" i="148"/>
  <c r="Y699" i="148" s="1"/>
  <c r="Y700" i="148"/>
  <c r="BB704" i="148"/>
  <c r="BA704" i="148"/>
  <c r="BC704" i="148"/>
  <c r="BJ680" i="148"/>
  <c r="BL680" i="148"/>
  <c r="BK680" i="148"/>
  <c r="BD702" i="148"/>
  <c r="BF702" i="148"/>
  <c r="BE702" i="148"/>
  <c r="W346" i="148"/>
  <c r="W680" i="148" s="1"/>
  <c r="W681" i="148"/>
  <c r="BD733" i="148"/>
  <c r="BF733" i="148"/>
  <c r="BE733" i="148"/>
  <c r="BE722" i="148"/>
  <c r="BD722" i="148"/>
  <c r="BF722" i="148"/>
  <c r="Y419" i="148"/>
  <c r="Y694" i="148" s="1"/>
  <c r="Y695" i="148"/>
  <c r="BA732" i="148"/>
  <c r="BC732" i="148"/>
  <c r="BB732" i="148"/>
  <c r="BD725" i="148"/>
  <c r="BF725" i="148"/>
  <c r="BE725" i="148"/>
  <c r="AX706" i="148"/>
  <c r="AZ706" i="148"/>
  <c r="AY706" i="148"/>
  <c r="BE728" i="148"/>
  <c r="BD728" i="148"/>
  <c r="BF728" i="148"/>
  <c r="BD737" i="148"/>
  <c r="BF737" i="148"/>
  <c r="BE737" i="148"/>
  <c r="Y586" i="148"/>
  <c r="Y723" i="148" s="1"/>
  <c r="Y628" i="148"/>
  <c r="Y730" i="148" s="1"/>
  <c r="Y562" i="148"/>
  <c r="Y717" i="148" s="1"/>
  <c r="BC702" i="148"/>
  <c r="AZ707" i="148" l="1"/>
  <c r="AY707" i="148"/>
  <c r="AX707" i="148"/>
  <c r="AA517" i="148"/>
  <c r="AB518" i="148"/>
  <c r="AB505" i="148"/>
  <c r="AC506" i="148"/>
  <c r="AA491" i="148"/>
  <c r="AA707" i="148" s="1"/>
  <c r="AA499" i="148"/>
  <c r="AB500" i="148"/>
  <c r="AB502" i="148"/>
  <c r="AC503" i="148"/>
  <c r="AA437" i="148"/>
  <c r="AA702" i="148" s="1"/>
  <c r="Z737" i="148"/>
  <c r="Z709" i="148"/>
  <c r="Z487" i="148"/>
  <c r="Z705" i="148" s="1"/>
  <c r="Z612" i="148"/>
  <c r="Z727" i="148" s="1"/>
  <c r="Z728" i="148"/>
  <c r="BB694" i="148"/>
  <c r="BA694" i="148"/>
  <c r="BC694" i="148"/>
  <c r="AS683" i="148"/>
  <c r="AR683" i="148"/>
  <c r="AT683" i="148"/>
  <c r="AY685" i="148"/>
  <c r="AX685" i="148"/>
  <c r="AZ685" i="148"/>
  <c r="AX690" i="148"/>
  <c r="AZ690" i="148"/>
  <c r="AY690" i="148"/>
  <c r="AV698" i="148"/>
  <c r="AU698" i="148"/>
  <c r="AW698" i="148"/>
  <c r="AV708" i="148"/>
  <c r="AU708" i="148"/>
  <c r="AW708" i="148"/>
  <c r="AU707" i="148"/>
  <c r="AW707" i="148"/>
  <c r="AV707" i="148"/>
  <c r="AU713" i="148"/>
  <c r="AW713" i="148"/>
  <c r="AV713" i="148"/>
  <c r="AA718" i="148"/>
  <c r="Z604" i="148"/>
  <c r="Z725" i="148" s="1"/>
  <c r="Z726" i="148"/>
  <c r="AY730" i="148"/>
  <c r="AX730" i="148"/>
  <c r="AZ730" i="148"/>
  <c r="AA638" i="148"/>
  <c r="AA731" i="148" s="1"/>
  <c r="AA732" i="148"/>
  <c r="AU687" i="148"/>
  <c r="AW687" i="148"/>
  <c r="AV687" i="148"/>
  <c r="AA420" i="148"/>
  <c r="AA696" i="148"/>
  <c r="BB717" i="148"/>
  <c r="BC717" i="148"/>
  <c r="BA717" i="148"/>
  <c r="BB723" i="148"/>
  <c r="BA723" i="148"/>
  <c r="BC723" i="148"/>
  <c r="BA695" i="148"/>
  <c r="BC695" i="148"/>
  <c r="BB695" i="148"/>
  <c r="BG681" i="148"/>
  <c r="BI681" i="148"/>
  <c r="BH681" i="148"/>
  <c r="BA699" i="148"/>
  <c r="BC699" i="148"/>
  <c r="BB699" i="148"/>
  <c r="AV706" i="148"/>
  <c r="AU706" i="148"/>
  <c r="AW706" i="148"/>
  <c r="AH684" i="148"/>
  <c r="AG684" i="148"/>
  <c r="AA404" i="148"/>
  <c r="AA690" i="148" s="1"/>
  <c r="AB405" i="148"/>
  <c r="AB416" i="148"/>
  <c r="AB693" i="148" s="1"/>
  <c r="AC417" i="148"/>
  <c r="AB424" i="148"/>
  <c r="AB697" i="148" s="1"/>
  <c r="AC425" i="148"/>
  <c r="AB427" i="148"/>
  <c r="AB426" i="148" s="1"/>
  <c r="AB698" i="148" s="1"/>
  <c r="AC428" i="148"/>
  <c r="AB508" i="148"/>
  <c r="AC509" i="148"/>
  <c r="AB438" i="148"/>
  <c r="AC439" i="148"/>
  <c r="AB460" i="148"/>
  <c r="AC461" i="148"/>
  <c r="AB482" i="148"/>
  <c r="AC483" i="148"/>
  <c r="AB492" i="148"/>
  <c r="AC493" i="148"/>
  <c r="AB514" i="148"/>
  <c r="AC515" i="148"/>
  <c r="AB529" i="148"/>
  <c r="AC530" i="148"/>
  <c r="AB539" i="148"/>
  <c r="AB538" i="148" s="1"/>
  <c r="AB713" i="148" s="1"/>
  <c r="AC540" i="148"/>
  <c r="AB551" i="148"/>
  <c r="AB550" i="148" s="1"/>
  <c r="AB715" i="148" s="1"/>
  <c r="AC552" i="148"/>
  <c r="AB564" i="148"/>
  <c r="AB563" i="148" s="1"/>
  <c r="AC565" i="148"/>
  <c r="AA577" i="148"/>
  <c r="AA576" i="148" s="1"/>
  <c r="AA720" i="148" s="1"/>
  <c r="AB578" i="148"/>
  <c r="AB584" i="148"/>
  <c r="AC585" i="148"/>
  <c r="AB589" i="148"/>
  <c r="AC590" i="148"/>
  <c r="AB596" i="148"/>
  <c r="AC597" i="148"/>
  <c r="AA606" i="148"/>
  <c r="AA605" i="148" s="1"/>
  <c r="AB607" i="148"/>
  <c r="AA622" i="148"/>
  <c r="AA621" i="148" s="1"/>
  <c r="AA729" i="148" s="1"/>
  <c r="AB623" i="148"/>
  <c r="AA629" i="148"/>
  <c r="AB630" i="148"/>
  <c r="AB634" i="148"/>
  <c r="AC635" i="148"/>
  <c r="AB640" i="148"/>
  <c r="AB639" i="148" s="1"/>
  <c r="AC641" i="148"/>
  <c r="AB646" i="148"/>
  <c r="AC647" i="148"/>
  <c r="AB653" i="148"/>
  <c r="AC654" i="148"/>
  <c r="AA657" i="148"/>
  <c r="AA652" i="148" s="1"/>
  <c r="AB658" i="148"/>
  <c r="AA669" i="148"/>
  <c r="AB670" i="148"/>
  <c r="AB382" i="148"/>
  <c r="AB687" i="148" s="1"/>
  <c r="AC383" i="148"/>
  <c r="AA412" i="148"/>
  <c r="AB413" i="148"/>
  <c r="AB421" i="148"/>
  <c r="AC422" i="148"/>
  <c r="AB468" i="148"/>
  <c r="AB703" i="148" s="1"/>
  <c r="AC469" i="148"/>
  <c r="AA520" i="148"/>
  <c r="AB521" i="148"/>
  <c r="AB447" i="148"/>
  <c r="AC448" i="148"/>
  <c r="AB474" i="148"/>
  <c r="AB473" i="148" s="1"/>
  <c r="AB472" i="148" s="1"/>
  <c r="AB704" i="148" s="1"/>
  <c r="AC475" i="148"/>
  <c r="AB510" i="148"/>
  <c r="AC511" i="148"/>
  <c r="AB524" i="148"/>
  <c r="AB523" i="148" s="1"/>
  <c r="AC525" i="148"/>
  <c r="AB533" i="148"/>
  <c r="AB532" i="148" s="1"/>
  <c r="AB712" i="148" s="1"/>
  <c r="AC534" i="148"/>
  <c r="AB545" i="148"/>
  <c r="AB544" i="148" s="1"/>
  <c r="AB714" i="148" s="1"/>
  <c r="AC546" i="148"/>
  <c r="AA556" i="148"/>
  <c r="AA555" i="148" s="1"/>
  <c r="AA716" i="148" s="1"/>
  <c r="AB557" i="148"/>
  <c r="AA573" i="148"/>
  <c r="AA572" i="148" s="1"/>
  <c r="AA719" i="148" s="1"/>
  <c r="AB574" i="148"/>
  <c r="AA582" i="148"/>
  <c r="AA581" i="148" s="1"/>
  <c r="AB583" i="148"/>
  <c r="AA587" i="148"/>
  <c r="AB588" i="148"/>
  <c r="AA593" i="148"/>
  <c r="AB594" i="148"/>
  <c r="AC432" i="148"/>
  <c r="AD433" i="148"/>
  <c r="AB614" i="148"/>
  <c r="AC615" i="148"/>
  <c r="AA618" i="148"/>
  <c r="AA613" i="148" s="1"/>
  <c r="AB619" i="148"/>
  <c r="AB626" i="148"/>
  <c r="AC627" i="148"/>
  <c r="AA632" i="148"/>
  <c r="AB633" i="148"/>
  <c r="AA636" i="148"/>
  <c r="AB637" i="148"/>
  <c r="AA644" i="148"/>
  <c r="AA643" i="148" s="1"/>
  <c r="AB645" i="148"/>
  <c r="AA649" i="148"/>
  <c r="AA648" i="148" s="1"/>
  <c r="AA735" i="148" s="1"/>
  <c r="AB650" i="148"/>
  <c r="AA666" i="148"/>
  <c r="AA665" i="148" s="1"/>
  <c r="AA738" i="148" s="1"/>
  <c r="AB667" i="148"/>
  <c r="AB672" i="148"/>
  <c r="AB671" i="148" s="1"/>
  <c r="AB739" i="148" s="1"/>
  <c r="AC673" i="148"/>
  <c r="BD682" i="148"/>
  <c r="BF682" i="148"/>
  <c r="BE682" i="148"/>
  <c r="BA691" i="148"/>
  <c r="BC691" i="148"/>
  <c r="BB691" i="148"/>
  <c r="AY711" i="148"/>
  <c r="AX711" i="148"/>
  <c r="AZ711" i="148"/>
  <c r="AU701" i="148"/>
  <c r="AW701" i="148"/>
  <c r="AV701" i="148"/>
  <c r="BE736" i="148"/>
  <c r="BD736" i="148"/>
  <c r="BF736" i="148"/>
  <c r="Y347" i="148"/>
  <c r="Y682" i="148"/>
  <c r="Z702" i="148"/>
  <c r="Z431" i="148"/>
  <c r="AY724" i="148"/>
  <c r="AX724" i="148"/>
  <c r="AZ724" i="148"/>
  <c r="BE699" i="148"/>
  <c r="BD699" i="148"/>
  <c r="BF699" i="148"/>
  <c r="BA711" i="148"/>
  <c r="BC711" i="148"/>
  <c r="BB711" i="148"/>
  <c r="AC603" i="148"/>
  <c r="AB602" i="148"/>
  <c r="AC683" i="148"/>
  <c r="AD398" i="148"/>
  <c r="AC397" i="148"/>
  <c r="AC689" i="148" s="1"/>
  <c r="AD490" i="148"/>
  <c r="AC489" i="148"/>
  <c r="AC488" i="148" s="1"/>
  <c r="AC371" i="148"/>
  <c r="AB370" i="148"/>
  <c r="AY718" i="148"/>
  <c r="AX718" i="148"/>
  <c r="AZ718" i="148"/>
  <c r="BB725" i="148"/>
  <c r="BA725" i="148"/>
  <c r="BC725" i="148"/>
  <c r="AY732" i="148"/>
  <c r="AX732" i="148"/>
  <c r="AZ732" i="148"/>
  <c r="Z419" i="148"/>
  <c r="Z694" i="148" s="1"/>
  <c r="Z695" i="148"/>
  <c r="BA722" i="148"/>
  <c r="BC722" i="148"/>
  <c r="BB722" i="148"/>
  <c r="BA734" i="148"/>
  <c r="BC734" i="148"/>
  <c r="BB734" i="148"/>
  <c r="BA736" i="148"/>
  <c r="BC736" i="148"/>
  <c r="BB736" i="148"/>
  <c r="BA709" i="148"/>
  <c r="BC709" i="148"/>
  <c r="BB709" i="148"/>
  <c r="Z348" i="148"/>
  <c r="Y612" i="148"/>
  <c r="Y727" i="148" s="1"/>
  <c r="BA730" i="148"/>
  <c r="BC730" i="148"/>
  <c r="BB730" i="148"/>
  <c r="BH680" i="148"/>
  <c r="BG680" i="148"/>
  <c r="BI680" i="148"/>
  <c r="BB700" i="148"/>
  <c r="BA700" i="148"/>
  <c r="BC700" i="148"/>
  <c r="AJ684" i="148"/>
  <c r="AI684" i="148"/>
  <c r="AK684" i="148"/>
  <c r="AU693" i="148"/>
  <c r="AW693" i="148"/>
  <c r="AV693" i="148"/>
  <c r="AU697" i="148"/>
  <c r="AW697" i="148"/>
  <c r="AV697" i="148"/>
  <c r="AV702" i="148"/>
  <c r="AU702" i="148"/>
  <c r="AW702" i="148"/>
  <c r="AU715" i="148"/>
  <c r="AW715" i="148"/>
  <c r="AV715" i="148"/>
  <c r="AY720" i="148"/>
  <c r="AX720" i="148"/>
  <c r="AZ720" i="148"/>
  <c r="AX729" i="148"/>
  <c r="AZ729" i="148"/>
  <c r="AY729" i="148"/>
  <c r="Z411" i="148"/>
  <c r="Z691" i="148" s="1"/>
  <c r="Z692" i="148"/>
  <c r="AU703" i="148"/>
  <c r="AW703" i="148"/>
  <c r="AV703" i="148"/>
  <c r="AV712" i="148"/>
  <c r="AU712" i="148"/>
  <c r="AW712" i="148"/>
  <c r="AV714" i="148"/>
  <c r="AU714" i="148"/>
  <c r="AW714" i="148"/>
  <c r="AX716" i="148"/>
  <c r="AZ716" i="148"/>
  <c r="AY716" i="148"/>
  <c r="AX719" i="148"/>
  <c r="AZ719" i="148"/>
  <c r="AY719" i="148"/>
  <c r="Z580" i="148"/>
  <c r="Z721" i="148" s="1"/>
  <c r="Z722" i="148"/>
  <c r="AX723" i="148"/>
  <c r="AZ723" i="148"/>
  <c r="AY723" i="148"/>
  <c r="AB701" i="148"/>
  <c r="Z642" i="148"/>
  <c r="Z733" i="148" s="1"/>
  <c r="Z734" i="148"/>
  <c r="AX735" i="148"/>
  <c r="AZ735" i="148"/>
  <c r="AY735" i="148"/>
  <c r="AV739" i="148"/>
  <c r="AU739" i="148"/>
  <c r="AW739" i="148"/>
  <c r="X346" i="148"/>
  <c r="X680" i="148" s="1"/>
  <c r="X681" i="148"/>
  <c r="BB692" i="148"/>
  <c r="BA692" i="148"/>
  <c r="BC692" i="148"/>
  <c r="AX708" i="148"/>
  <c r="AZ708" i="148"/>
  <c r="AY708" i="148"/>
  <c r="BD700" i="148"/>
  <c r="BF700" i="148"/>
  <c r="BE700" i="148"/>
  <c r="BB710" i="148"/>
  <c r="BA710" i="148"/>
  <c r="BC710" i="148"/>
  <c r="AA598" i="148"/>
  <c r="AA595" i="148" s="1"/>
  <c r="AA724" i="148" s="1"/>
  <c r="AB599" i="148"/>
  <c r="AD349" i="148"/>
  <c r="AE350" i="148"/>
  <c r="AS689" i="148"/>
  <c r="AR689" i="148"/>
  <c r="AT689" i="148"/>
  <c r="AB706" i="148"/>
  <c r="AA685" i="148"/>
  <c r="AA348" i="148"/>
  <c r="BA726" i="148"/>
  <c r="BC726" i="148"/>
  <c r="BB726" i="148"/>
  <c r="AX731" i="148"/>
  <c r="AZ731" i="148"/>
  <c r="AY731" i="148"/>
  <c r="AX696" i="148"/>
  <c r="AZ696" i="148"/>
  <c r="AY696" i="148"/>
  <c r="BB733" i="148"/>
  <c r="BA733" i="148"/>
  <c r="BC733" i="148"/>
  <c r="BB737" i="148"/>
  <c r="BA737" i="148"/>
  <c r="BC737" i="148"/>
  <c r="BA705" i="148"/>
  <c r="BC705" i="148"/>
  <c r="BB705" i="148"/>
  <c r="BA728" i="148"/>
  <c r="BC728" i="148"/>
  <c r="BB728" i="148"/>
  <c r="AA513" i="148"/>
  <c r="AA473" i="148"/>
  <c r="AA472" i="148" s="1"/>
  <c r="AA704" i="148" s="1"/>
  <c r="AA523" i="148"/>
  <c r="Z665" i="148"/>
  <c r="Z738" i="148" s="1"/>
  <c r="Z522" i="148"/>
  <c r="Z710" i="148" s="1"/>
  <c r="AA431" i="148"/>
  <c r="Z562" i="148"/>
  <c r="Z717" i="148" s="1"/>
  <c r="Y580" i="148"/>
  <c r="Y721" i="148" s="1"/>
  <c r="AC502" i="148" l="1"/>
  <c r="AD503" i="148"/>
  <c r="AD506" i="148"/>
  <c r="AC505" i="148"/>
  <c r="AB499" i="148"/>
  <c r="AB491" i="148" s="1"/>
  <c r="AB707" i="148" s="1"/>
  <c r="AC500" i="148"/>
  <c r="AB517" i="148"/>
  <c r="AC518" i="148"/>
  <c r="AA651" i="148"/>
  <c r="AA736" i="148" s="1"/>
  <c r="AA737" i="148"/>
  <c r="AU724" i="148"/>
  <c r="AW724" i="148"/>
  <c r="AV724" i="148"/>
  <c r="AX710" i="148"/>
  <c r="AZ710" i="148"/>
  <c r="AY710" i="148"/>
  <c r="AA728" i="148"/>
  <c r="AA709" i="148"/>
  <c r="AA487" i="148"/>
  <c r="AA705" i="148" s="1"/>
  <c r="AA682" i="148"/>
  <c r="AR706" i="148"/>
  <c r="AT706" i="148"/>
  <c r="AS706" i="148"/>
  <c r="AY722" i="148"/>
  <c r="AX722" i="148"/>
  <c r="AZ722" i="148"/>
  <c r="AY695" i="148"/>
  <c r="AX695" i="148"/>
  <c r="AZ695" i="148"/>
  <c r="AC370" i="148"/>
  <c r="AD371" i="148"/>
  <c r="AD397" i="148"/>
  <c r="AD689" i="148" s="1"/>
  <c r="AE398" i="148"/>
  <c r="AC602" i="148"/>
  <c r="AD603" i="148"/>
  <c r="BB682" i="148"/>
  <c r="BA682" i="148"/>
  <c r="BC682" i="148"/>
  <c r="AR739" i="148"/>
  <c r="AT739" i="148"/>
  <c r="AS739" i="148"/>
  <c r="AV735" i="148"/>
  <c r="AU735" i="148"/>
  <c r="AW735" i="148"/>
  <c r="AC701" i="148"/>
  <c r="AV719" i="148"/>
  <c r="AU719" i="148"/>
  <c r="AW719" i="148"/>
  <c r="AR714" i="148"/>
  <c r="AT714" i="148"/>
  <c r="AS714" i="148"/>
  <c r="AB711" i="148"/>
  <c r="AS703" i="148"/>
  <c r="AR703" i="148"/>
  <c r="AT703" i="148"/>
  <c r="AA411" i="148"/>
  <c r="AA691" i="148" s="1"/>
  <c r="AA692" i="148"/>
  <c r="AS687" i="148"/>
  <c r="AR687" i="148"/>
  <c r="AT687" i="148"/>
  <c r="AB638" i="148"/>
  <c r="AB731" i="148" s="1"/>
  <c r="AB732" i="148"/>
  <c r="AV729" i="148"/>
  <c r="AU729" i="148"/>
  <c r="AW729" i="148"/>
  <c r="AA604" i="148"/>
  <c r="AA725" i="148" s="1"/>
  <c r="AA726" i="148"/>
  <c r="AU720" i="148"/>
  <c r="AW720" i="148"/>
  <c r="AV720" i="148"/>
  <c r="AB718" i="148"/>
  <c r="AS715" i="148"/>
  <c r="AR715" i="148"/>
  <c r="AT715" i="148"/>
  <c r="AS713" i="148"/>
  <c r="AR713" i="148"/>
  <c r="AT713" i="148"/>
  <c r="AR698" i="148"/>
  <c r="AT698" i="148"/>
  <c r="AS698" i="148"/>
  <c r="AS697" i="148"/>
  <c r="AR697" i="148"/>
  <c r="AT697" i="148"/>
  <c r="AS693" i="148"/>
  <c r="AR693" i="148"/>
  <c r="AT693" i="148"/>
  <c r="AV690" i="148"/>
  <c r="AU690" i="148"/>
  <c r="AW690" i="148"/>
  <c r="AA419" i="148"/>
  <c r="AA694" i="148" s="1"/>
  <c r="AA695" i="148"/>
  <c r="AU732" i="148"/>
  <c r="AW732" i="148"/>
  <c r="AV732" i="148"/>
  <c r="AX725" i="148"/>
  <c r="AZ725" i="148"/>
  <c r="AY725" i="148"/>
  <c r="AX727" i="148"/>
  <c r="AZ727" i="148"/>
  <c r="AY727" i="148"/>
  <c r="AY709" i="148"/>
  <c r="AX709" i="148"/>
  <c r="AZ709" i="148"/>
  <c r="AA586" i="148"/>
  <c r="AA723" i="148" s="1"/>
  <c r="AA628" i="148"/>
  <c r="AA730" i="148" s="1"/>
  <c r="AB437" i="148"/>
  <c r="AB501" i="148"/>
  <c r="AA562" i="148"/>
  <c r="AA717" i="148" s="1"/>
  <c r="Z651" i="148"/>
  <c r="Z736" i="148" s="1"/>
  <c r="AX717" i="148"/>
  <c r="AZ717" i="148"/>
  <c r="AY717" i="148"/>
  <c r="AV704" i="148"/>
  <c r="AU704" i="148"/>
  <c r="AW704" i="148"/>
  <c r="AD683" i="148"/>
  <c r="BD680" i="148"/>
  <c r="BF680" i="148"/>
  <c r="BE680" i="148"/>
  <c r="AX733" i="148"/>
  <c r="AZ733" i="148"/>
  <c r="AY733" i="148"/>
  <c r="AY691" i="148"/>
  <c r="AX691" i="148"/>
  <c r="AZ691" i="148"/>
  <c r="Z347" i="148"/>
  <c r="Z682" i="148"/>
  <c r="AD489" i="148"/>
  <c r="AD488" i="148" s="1"/>
  <c r="AE490" i="148"/>
  <c r="Z430" i="148"/>
  <c r="Z699" i="148" s="1"/>
  <c r="Z700" i="148"/>
  <c r="AU738" i="148"/>
  <c r="AW738" i="148"/>
  <c r="AV738" i="148"/>
  <c r="AA642" i="148"/>
  <c r="AA733" i="148" s="1"/>
  <c r="AA734" i="148"/>
  <c r="AA580" i="148"/>
  <c r="AA721" i="148" s="1"/>
  <c r="AA722" i="148"/>
  <c r="AV716" i="148"/>
  <c r="AU716" i="148"/>
  <c r="AW716" i="148"/>
  <c r="AR712" i="148"/>
  <c r="AT712" i="148"/>
  <c r="AS712" i="148"/>
  <c r="AR704" i="148"/>
  <c r="AT704" i="148"/>
  <c r="AS704" i="148"/>
  <c r="AB420" i="148"/>
  <c r="AB696" i="148"/>
  <c r="BB721" i="148"/>
  <c r="BA721" i="148"/>
  <c r="BC721" i="148"/>
  <c r="AA430" i="148"/>
  <c r="AA699" i="148" s="1"/>
  <c r="AA700" i="148"/>
  <c r="AY738" i="148"/>
  <c r="AX738" i="148"/>
  <c r="AZ738" i="148"/>
  <c r="AA522" i="148"/>
  <c r="AA710" i="148" s="1"/>
  <c r="AA711" i="148"/>
  <c r="AU685" i="148"/>
  <c r="AW685" i="148"/>
  <c r="AV685" i="148"/>
  <c r="AF350" i="148"/>
  <c r="AF349" i="148" s="1"/>
  <c r="AE349" i="148"/>
  <c r="AB598" i="148"/>
  <c r="AB595" i="148" s="1"/>
  <c r="AB724" i="148" s="1"/>
  <c r="AC599" i="148"/>
  <c r="BE681" i="148"/>
  <c r="BD681" i="148"/>
  <c r="BF681" i="148"/>
  <c r="AY734" i="148"/>
  <c r="AX734" i="148"/>
  <c r="AZ734" i="148"/>
  <c r="AS701" i="148"/>
  <c r="AR701" i="148"/>
  <c r="AT701" i="148"/>
  <c r="AX721" i="148"/>
  <c r="AZ721" i="148"/>
  <c r="AY721" i="148"/>
  <c r="AX692" i="148"/>
  <c r="AZ692" i="148"/>
  <c r="AY692" i="148"/>
  <c r="BB727" i="148"/>
  <c r="BA727" i="148"/>
  <c r="BC727" i="148"/>
  <c r="AX694" i="148"/>
  <c r="AZ694" i="148"/>
  <c r="AY694" i="148"/>
  <c r="AB685" i="148"/>
  <c r="AC706" i="148"/>
  <c r="AO689" i="148"/>
  <c r="AQ689" i="148"/>
  <c r="AP689" i="148"/>
  <c r="AO683" i="148"/>
  <c r="AQ683" i="148"/>
  <c r="AP683" i="148"/>
  <c r="AX702" i="148"/>
  <c r="AZ702" i="148"/>
  <c r="AY702" i="148"/>
  <c r="Y346" i="148"/>
  <c r="Y680" i="148" s="1"/>
  <c r="Y681" i="148"/>
  <c r="AC672" i="148"/>
  <c r="AC671" i="148" s="1"/>
  <c r="AC739" i="148" s="1"/>
  <c r="AD673" i="148"/>
  <c r="AB666" i="148"/>
  <c r="AC667" i="148"/>
  <c r="AB649" i="148"/>
  <c r="AB648" i="148" s="1"/>
  <c r="AB735" i="148" s="1"/>
  <c r="AC650" i="148"/>
  <c r="AB644" i="148"/>
  <c r="AB643" i="148" s="1"/>
  <c r="AC645" i="148"/>
  <c r="AB636" i="148"/>
  <c r="AC637" i="148"/>
  <c r="AB632" i="148"/>
  <c r="AC633" i="148"/>
  <c r="AC626" i="148"/>
  <c r="AD627" i="148"/>
  <c r="AB618" i="148"/>
  <c r="AC619" i="148"/>
  <c r="AC614" i="148"/>
  <c r="AD615" i="148"/>
  <c r="AD432" i="148"/>
  <c r="AE433" i="148"/>
  <c r="AB593" i="148"/>
  <c r="AC594" i="148"/>
  <c r="AB587" i="148"/>
  <c r="AB586" i="148" s="1"/>
  <c r="AB723" i="148" s="1"/>
  <c r="AC588" i="148"/>
  <c r="AB582" i="148"/>
  <c r="AB581" i="148" s="1"/>
  <c r="AC583" i="148"/>
  <c r="AB573" i="148"/>
  <c r="AB572" i="148" s="1"/>
  <c r="AB719" i="148" s="1"/>
  <c r="AC574" i="148"/>
  <c r="AB556" i="148"/>
  <c r="AB555" i="148" s="1"/>
  <c r="AB716" i="148" s="1"/>
  <c r="AC557" i="148"/>
  <c r="AC545" i="148"/>
  <c r="AC544" i="148" s="1"/>
  <c r="AC714" i="148" s="1"/>
  <c r="AD546" i="148"/>
  <c r="AC533" i="148"/>
  <c r="AC532" i="148" s="1"/>
  <c r="AC712" i="148" s="1"/>
  <c r="AD534" i="148"/>
  <c r="AC524" i="148"/>
  <c r="AD525" i="148"/>
  <c r="AC510" i="148"/>
  <c r="AD511" i="148"/>
  <c r="AC474" i="148"/>
  <c r="AD475" i="148"/>
  <c r="AC447" i="148"/>
  <c r="AD448" i="148"/>
  <c r="AB520" i="148"/>
  <c r="AB513" i="148" s="1"/>
  <c r="AB709" i="148" s="1"/>
  <c r="AC521" i="148"/>
  <c r="AC468" i="148"/>
  <c r="AC703" i="148" s="1"/>
  <c r="AD469" i="148"/>
  <c r="AC421" i="148"/>
  <c r="AD422" i="148"/>
  <c r="AB412" i="148"/>
  <c r="AC413" i="148"/>
  <c r="AC382" i="148"/>
  <c r="AC687" i="148" s="1"/>
  <c r="AD383" i="148"/>
  <c r="AB669" i="148"/>
  <c r="AC670" i="148"/>
  <c r="AB657" i="148"/>
  <c r="AB652" i="148" s="1"/>
  <c r="AC658" i="148"/>
  <c r="AC653" i="148"/>
  <c r="AD654" i="148"/>
  <c r="AC646" i="148"/>
  <c r="AD647" i="148"/>
  <c r="AC640" i="148"/>
  <c r="AC639" i="148" s="1"/>
  <c r="AD641" i="148"/>
  <c r="AC634" i="148"/>
  <c r="AD635" i="148"/>
  <c r="AB629" i="148"/>
  <c r="AB628" i="148" s="1"/>
  <c r="AB730" i="148" s="1"/>
  <c r="AC630" i="148"/>
  <c r="AB622" i="148"/>
  <c r="AB621" i="148" s="1"/>
  <c r="AB729" i="148" s="1"/>
  <c r="AC623" i="148"/>
  <c r="AB606" i="148"/>
  <c r="AB605" i="148" s="1"/>
  <c r="AC607" i="148"/>
  <c r="AC596" i="148"/>
  <c r="AD597" i="148"/>
  <c r="AC589" i="148"/>
  <c r="AD590" i="148"/>
  <c r="AC584" i="148"/>
  <c r="AD585" i="148"/>
  <c r="AB577" i="148"/>
  <c r="AB576" i="148" s="1"/>
  <c r="AB720" i="148" s="1"/>
  <c r="AC578" i="148"/>
  <c r="AC564" i="148"/>
  <c r="AC563" i="148" s="1"/>
  <c r="AD565" i="148"/>
  <c r="AC551" i="148"/>
  <c r="AC550" i="148" s="1"/>
  <c r="AC715" i="148" s="1"/>
  <c r="AD552" i="148"/>
  <c r="AC539" i="148"/>
  <c r="AC538" i="148" s="1"/>
  <c r="AC713" i="148" s="1"/>
  <c r="AD540" i="148"/>
  <c r="AC529" i="148"/>
  <c r="AD530" i="148"/>
  <c r="AC514" i="148"/>
  <c r="AD515" i="148"/>
  <c r="AC492" i="148"/>
  <c r="AD493" i="148"/>
  <c r="AC482" i="148"/>
  <c r="AD483" i="148"/>
  <c r="AC460" i="148"/>
  <c r="AD461" i="148"/>
  <c r="AC438" i="148"/>
  <c r="AC437" i="148" s="1"/>
  <c r="AC702" i="148" s="1"/>
  <c r="AD439" i="148"/>
  <c r="AC508" i="148"/>
  <c r="AC501" i="148" s="1"/>
  <c r="AC708" i="148" s="1"/>
  <c r="AD509" i="148"/>
  <c r="AC427" i="148"/>
  <c r="AC426" i="148" s="1"/>
  <c r="AC698" i="148" s="1"/>
  <c r="AD428" i="148"/>
  <c r="AC424" i="148"/>
  <c r="AC697" i="148" s="1"/>
  <c r="AD425" i="148"/>
  <c r="AC416" i="148"/>
  <c r="AC693" i="148" s="1"/>
  <c r="AD417" i="148"/>
  <c r="AB404" i="148"/>
  <c r="AB690" i="148" s="1"/>
  <c r="AC405" i="148"/>
  <c r="AV696" i="148"/>
  <c r="AU696" i="148"/>
  <c r="AW696" i="148"/>
  <c r="AV731" i="148"/>
  <c r="AU731" i="148"/>
  <c r="AW731" i="148"/>
  <c r="AY726" i="148"/>
  <c r="AX726" i="148"/>
  <c r="AZ726" i="148"/>
  <c r="AU718" i="148"/>
  <c r="AW718" i="148"/>
  <c r="AV718" i="148"/>
  <c r="AY728" i="148"/>
  <c r="AX728" i="148"/>
  <c r="AZ728" i="148"/>
  <c r="AY705" i="148"/>
  <c r="AX705" i="148"/>
  <c r="AZ705" i="148"/>
  <c r="AX737" i="148"/>
  <c r="AZ737" i="148"/>
  <c r="AY737" i="148"/>
  <c r="AB613" i="148"/>
  <c r="AT707" i="148" l="1"/>
  <c r="AS707" i="148"/>
  <c r="AR707" i="148"/>
  <c r="AD505" i="148"/>
  <c r="AE506" i="148"/>
  <c r="AC499" i="148"/>
  <c r="AD500" i="148"/>
  <c r="AD502" i="148"/>
  <c r="AE503" i="148"/>
  <c r="AC491" i="148"/>
  <c r="AC707" i="148" s="1"/>
  <c r="AC517" i="148"/>
  <c r="AD518" i="148"/>
  <c r="AB737" i="148"/>
  <c r="AS709" i="148"/>
  <c r="AR709" i="148"/>
  <c r="AT709" i="148"/>
  <c r="AS724" i="148"/>
  <c r="AR724" i="148"/>
  <c r="AT724" i="148"/>
  <c r="AO693" i="148"/>
  <c r="AQ693" i="148"/>
  <c r="AP693" i="148"/>
  <c r="AP698" i="148"/>
  <c r="AO698" i="148"/>
  <c r="AQ698" i="148"/>
  <c r="AP708" i="148"/>
  <c r="AO708" i="148"/>
  <c r="AO707" i="148"/>
  <c r="AQ707" i="148"/>
  <c r="AP707" i="148"/>
  <c r="AO713" i="148"/>
  <c r="AQ713" i="148"/>
  <c r="AP713" i="148"/>
  <c r="AC718" i="148"/>
  <c r="AR729" i="148"/>
  <c r="AT729" i="148"/>
  <c r="AS729" i="148"/>
  <c r="AC638" i="148"/>
  <c r="AC731" i="148" s="1"/>
  <c r="AC732" i="148"/>
  <c r="AO687" i="148"/>
  <c r="AQ687" i="148"/>
  <c r="AP687" i="148"/>
  <c r="AC420" i="148"/>
  <c r="AC696" i="148"/>
  <c r="AO703" i="148"/>
  <c r="AQ703" i="148"/>
  <c r="AP703" i="148"/>
  <c r="AP712" i="148"/>
  <c r="AO712" i="148"/>
  <c r="AQ712" i="148"/>
  <c r="AP714" i="148"/>
  <c r="AO714" i="148"/>
  <c r="AQ714" i="148"/>
  <c r="AR716" i="148"/>
  <c r="AT716" i="148"/>
  <c r="AS716" i="148"/>
  <c r="AR719" i="148"/>
  <c r="AT719" i="148"/>
  <c r="AS719" i="148"/>
  <c r="AB580" i="148"/>
  <c r="AB721" i="148" s="1"/>
  <c r="AB722" i="148"/>
  <c r="AR723" i="148"/>
  <c r="AT723" i="148"/>
  <c r="AS723" i="148"/>
  <c r="AD701" i="148"/>
  <c r="AB642" i="148"/>
  <c r="AB733" i="148" s="1"/>
  <c r="AB734" i="148"/>
  <c r="AR735" i="148"/>
  <c r="AT735" i="148"/>
  <c r="AS735" i="148"/>
  <c r="AP739" i="148"/>
  <c r="AO739" i="148"/>
  <c r="AQ739" i="148"/>
  <c r="BB680" i="148"/>
  <c r="BA680" i="148"/>
  <c r="BC680" i="148"/>
  <c r="AP706" i="148"/>
  <c r="AO706" i="148"/>
  <c r="AQ706" i="148"/>
  <c r="AF683" i="148"/>
  <c r="AU711" i="148"/>
  <c r="AW711" i="148"/>
  <c r="AV711" i="148"/>
  <c r="AU699" i="148"/>
  <c r="AW699" i="148"/>
  <c r="AV699" i="148"/>
  <c r="AR696" i="148"/>
  <c r="AT696" i="148"/>
  <c r="AS696" i="148"/>
  <c r="AV721" i="148"/>
  <c r="AU721" i="148"/>
  <c r="AW721" i="148"/>
  <c r="AV733" i="148"/>
  <c r="AU733" i="148"/>
  <c r="AW733" i="148"/>
  <c r="AX700" i="148"/>
  <c r="AZ700" i="148"/>
  <c r="AY700" i="148"/>
  <c r="AF490" i="148"/>
  <c r="AF489" i="148" s="1"/>
  <c r="AF488" i="148" s="1"/>
  <c r="AE489" i="148"/>
  <c r="AE488" i="148" s="1"/>
  <c r="AX682" i="148"/>
  <c r="AZ682" i="148"/>
  <c r="AY682" i="148"/>
  <c r="AV717" i="148"/>
  <c r="AU717" i="148"/>
  <c r="AW717" i="148"/>
  <c r="AB702" i="148"/>
  <c r="AB431" i="148"/>
  <c r="AU695" i="148"/>
  <c r="AW695" i="148"/>
  <c r="AV695" i="148"/>
  <c r="AU726" i="148"/>
  <c r="AW726" i="148"/>
  <c r="AV726" i="148"/>
  <c r="AR731" i="148"/>
  <c r="AT731" i="148"/>
  <c r="AS731" i="148"/>
  <c r="AV692" i="148"/>
  <c r="AU692" i="148"/>
  <c r="AW692" i="148"/>
  <c r="AD602" i="148"/>
  <c r="AE603" i="148"/>
  <c r="AF398" i="148"/>
  <c r="AF397" i="148" s="1"/>
  <c r="AF689" i="148" s="1"/>
  <c r="AE397" i="148"/>
  <c r="AE689" i="148" s="1"/>
  <c r="AE371" i="148"/>
  <c r="AD370" i="148"/>
  <c r="AU709" i="148"/>
  <c r="AW709" i="148"/>
  <c r="AV709" i="148"/>
  <c r="AU736" i="148"/>
  <c r="AW736" i="148"/>
  <c r="AV736" i="148"/>
  <c r="AC473" i="148"/>
  <c r="AC472" i="148" s="1"/>
  <c r="AC704" i="148" s="1"/>
  <c r="AC523" i="148"/>
  <c r="AB665" i="148"/>
  <c r="AB738" i="148" s="1"/>
  <c r="AB348" i="148"/>
  <c r="AB562" i="148"/>
  <c r="AB717" i="148" s="1"/>
  <c r="AB522" i="148"/>
  <c r="AB710" i="148" s="1"/>
  <c r="AC431" i="148"/>
  <c r="AA347" i="148"/>
  <c r="AA612" i="148"/>
  <c r="AA727" i="148" s="1"/>
  <c r="AR690" i="148"/>
  <c r="AT690" i="148"/>
  <c r="AS690" i="148"/>
  <c r="AO697" i="148"/>
  <c r="AQ697" i="148"/>
  <c r="AP697" i="148"/>
  <c r="AP702" i="148"/>
  <c r="AO702" i="148"/>
  <c r="AQ702" i="148"/>
  <c r="AO715" i="148"/>
  <c r="AQ715" i="148"/>
  <c r="AP715" i="148"/>
  <c r="AS720" i="148"/>
  <c r="AR720" i="148"/>
  <c r="AT720" i="148"/>
  <c r="AB604" i="148"/>
  <c r="AB725" i="148" s="1"/>
  <c r="AB726" i="148"/>
  <c r="AS730" i="148"/>
  <c r="AR730" i="148"/>
  <c r="AT730" i="148"/>
  <c r="AB411" i="148"/>
  <c r="AB691" i="148" s="1"/>
  <c r="AB692" i="148"/>
  <c r="AB612" i="148"/>
  <c r="AB727" i="148" s="1"/>
  <c r="AB728" i="148"/>
  <c r="AC404" i="148"/>
  <c r="AC690" i="148" s="1"/>
  <c r="AD405" i="148"/>
  <c r="AD416" i="148"/>
  <c r="AD693" i="148" s="1"/>
  <c r="AE417" i="148"/>
  <c r="AD424" i="148"/>
  <c r="AD697" i="148" s="1"/>
  <c r="AE425" i="148"/>
  <c r="AD427" i="148"/>
  <c r="AD426" i="148" s="1"/>
  <c r="AD698" i="148" s="1"/>
  <c r="AE428" i="148"/>
  <c r="AD508" i="148"/>
  <c r="AE509" i="148"/>
  <c r="AD438" i="148"/>
  <c r="AE439" i="148"/>
  <c r="AD460" i="148"/>
  <c r="AE461" i="148"/>
  <c r="AD482" i="148"/>
  <c r="AE483" i="148"/>
  <c r="AD492" i="148"/>
  <c r="AE493" i="148"/>
  <c r="AD514" i="148"/>
  <c r="AE515" i="148"/>
  <c r="AD529" i="148"/>
  <c r="AE530" i="148"/>
  <c r="AD539" i="148"/>
  <c r="AD538" i="148" s="1"/>
  <c r="AD713" i="148" s="1"/>
  <c r="AE540" i="148"/>
  <c r="AD551" i="148"/>
  <c r="AD550" i="148" s="1"/>
  <c r="AD715" i="148" s="1"/>
  <c r="AE552" i="148"/>
  <c r="AD564" i="148"/>
  <c r="AD563" i="148" s="1"/>
  <c r="AE565" i="148"/>
  <c r="AC577" i="148"/>
  <c r="AC576" i="148" s="1"/>
  <c r="AC720" i="148" s="1"/>
  <c r="AD578" i="148"/>
  <c r="AD584" i="148"/>
  <c r="AE585" i="148"/>
  <c r="AD589" i="148"/>
  <c r="AE590" i="148"/>
  <c r="AD596" i="148"/>
  <c r="AE597" i="148"/>
  <c r="AC606" i="148"/>
  <c r="AC605" i="148" s="1"/>
  <c r="AD607" i="148"/>
  <c r="AC622" i="148"/>
  <c r="AC621" i="148" s="1"/>
  <c r="AC729" i="148" s="1"/>
  <c r="AD623" i="148"/>
  <c r="AC629" i="148"/>
  <c r="AD630" i="148"/>
  <c r="AD634" i="148"/>
  <c r="AE635" i="148"/>
  <c r="AD640" i="148"/>
  <c r="AD639" i="148" s="1"/>
  <c r="AE641" i="148"/>
  <c r="AD646" i="148"/>
  <c r="AE647" i="148"/>
  <c r="AD653" i="148"/>
  <c r="AE654" i="148"/>
  <c r="AC657" i="148"/>
  <c r="AC652" i="148" s="1"/>
  <c r="AD658" i="148"/>
  <c r="AC669" i="148"/>
  <c r="AD670" i="148"/>
  <c r="AD382" i="148"/>
  <c r="AD687" i="148" s="1"/>
  <c r="AE383" i="148"/>
  <c r="AC412" i="148"/>
  <c r="AD413" i="148"/>
  <c r="AD421" i="148"/>
  <c r="AE422" i="148"/>
  <c r="AD468" i="148"/>
  <c r="AD703" i="148" s="1"/>
  <c r="AE469" i="148"/>
  <c r="AC520" i="148"/>
  <c r="AC513" i="148" s="1"/>
  <c r="AD521" i="148"/>
  <c r="AD447" i="148"/>
  <c r="AE448" i="148"/>
  <c r="AD474" i="148"/>
  <c r="AD473" i="148" s="1"/>
  <c r="AD472" i="148" s="1"/>
  <c r="AD704" i="148" s="1"/>
  <c r="AE475" i="148"/>
  <c r="AD510" i="148"/>
  <c r="AE511" i="148"/>
  <c r="AD524" i="148"/>
  <c r="AD523" i="148" s="1"/>
  <c r="AE525" i="148"/>
  <c r="AD533" i="148"/>
  <c r="AD532" i="148" s="1"/>
  <c r="AD712" i="148" s="1"/>
  <c r="AE534" i="148"/>
  <c r="AD545" i="148"/>
  <c r="AD544" i="148" s="1"/>
  <c r="AD714" i="148" s="1"/>
  <c r="AE546" i="148"/>
  <c r="AC556" i="148"/>
  <c r="AC555" i="148" s="1"/>
  <c r="AC716" i="148" s="1"/>
  <c r="AD557" i="148"/>
  <c r="AC573" i="148"/>
  <c r="AC572" i="148" s="1"/>
  <c r="AC719" i="148" s="1"/>
  <c r="AD574" i="148"/>
  <c r="AC582" i="148"/>
  <c r="AC581" i="148" s="1"/>
  <c r="AD583" i="148"/>
  <c r="AC587" i="148"/>
  <c r="AC586" i="148" s="1"/>
  <c r="AC723" i="148" s="1"/>
  <c r="AD588" i="148"/>
  <c r="AC593" i="148"/>
  <c r="AD594" i="148"/>
  <c r="AE432" i="148"/>
  <c r="AF433" i="148"/>
  <c r="AF432" i="148" s="1"/>
  <c r="AD614" i="148"/>
  <c r="AE615" i="148"/>
  <c r="AC618" i="148"/>
  <c r="AC613" i="148" s="1"/>
  <c r="AD619" i="148"/>
  <c r="AD626" i="148"/>
  <c r="AE627" i="148"/>
  <c r="AC632" i="148"/>
  <c r="AD633" i="148"/>
  <c r="AC636" i="148"/>
  <c r="AD637" i="148"/>
  <c r="AC644" i="148"/>
  <c r="AC643" i="148" s="1"/>
  <c r="AD645" i="148"/>
  <c r="AC649" i="148"/>
  <c r="AC648" i="148" s="1"/>
  <c r="AC735" i="148" s="1"/>
  <c r="AD650" i="148"/>
  <c r="AC666" i="148"/>
  <c r="AC665" i="148" s="1"/>
  <c r="AC738" i="148" s="1"/>
  <c r="AD667" i="148"/>
  <c r="AD672" i="148"/>
  <c r="AD671" i="148" s="1"/>
  <c r="AD739" i="148" s="1"/>
  <c r="AE673" i="148"/>
  <c r="BA681" i="148"/>
  <c r="BC681" i="148"/>
  <c r="BB681" i="148"/>
  <c r="AS685" i="148"/>
  <c r="AR685" i="148"/>
  <c r="AT685" i="148"/>
  <c r="AD599" i="148"/>
  <c r="AC598" i="148"/>
  <c r="AC595" i="148" s="1"/>
  <c r="AC724" i="148" s="1"/>
  <c r="AE683" i="148"/>
  <c r="AV710" i="148"/>
  <c r="AU710" i="148"/>
  <c r="AW710" i="148"/>
  <c r="AV700" i="148"/>
  <c r="AU700" i="148"/>
  <c r="AW700" i="148"/>
  <c r="AB419" i="148"/>
  <c r="AB694" i="148" s="1"/>
  <c r="AB695" i="148"/>
  <c r="AU722" i="148"/>
  <c r="AW722" i="148"/>
  <c r="AV722" i="148"/>
  <c r="AU734" i="148"/>
  <c r="AW734" i="148"/>
  <c r="AV734" i="148"/>
  <c r="AY699" i="148"/>
  <c r="AX699" i="148"/>
  <c r="AZ699" i="148"/>
  <c r="AD706" i="148"/>
  <c r="Z346" i="148"/>
  <c r="Z680" i="148" s="1"/>
  <c r="Z681" i="148"/>
  <c r="AM683" i="148"/>
  <c r="AL683" i="148"/>
  <c r="AN683" i="148"/>
  <c r="AY736" i="148"/>
  <c r="AX736" i="148"/>
  <c r="AZ736" i="148"/>
  <c r="AB708" i="148"/>
  <c r="AQ708" i="148" s="1"/>
  <c r="AB487" i="148"/>
  <c r="AB705" i="148" s="1"/>
  <c r="AU730" i="148"/>
  <c r="AW730" i="148"/>
  <c r="AV730" i="148"/>
  <c r="AV723" i="148"/>
  <c r="AU723" i="148"/>
  <c r="AW723" i="148"/>
  <c r="AV694" i="148"/>
  <c r="AU694" i="148"/>
  <c r="AW694" i="148"/>
  <c r="AS718" i="148"/>
  <c r="AT718" i="148"/>
  <c r="AR718" i="148"/>
  <c r="AV725" i="148"/>
  <c r="AU725" i="148"/>
  <c r="AW725" i="148"/>
  <c r="AS732" i="148"/>
  <c r="AR732" i="148"/>
  <c r="AT732" i="148"/>
  <c r="AU691" i="148"/>
  <c r="AW691" i="148"/>
  <c r="AV691" i="148"/>
  <c r="AS711" i="148"/>
  <c r="AR711" i="148"/>
  <c r="AT711" i="148"/>
  <c r="AO701" i="148"/>
  <c r="AQ701" i="148"/>
  <c r="AP701" i="148"/>
  <c r="AM689" i="148"/>
  <c r="AL689" i="148"/>
  <c r="AN689" i="148"/>
  <c r="AC685" i="148"/>
  <c r="AC348" i="148"/>
  <c r="AV682" i="148"/>
  <c r="AU682" i="148"/>
  <c r="AW682" i="148"/>
  <c r="AU705" i="148"/>
  <c r="AW705" i="148"/>
  <c r="AV705" i="148"/>
  <c r="AU728" i="148"/>
  <c r="AW728" i="148"/>
  <c r="AV728" i="148"/>
  <c r="AV737" i="148"/>
  <c r="AU737" i="148"/>
  <c r="AW737" i="148"/>
  <c r="AD517" i="148" l="1"/>
  <c r="AE518" i="148"/>
  <c r="AD499" i="148"/>
  <c r="AD491" i="148" s="1"/>
  <c r="AD707" i="148" s="1"/>
  <c r="AE500" i="148"/>
  <c r="AE502" i="148"/>
  <c r="AF503" i="148"/>
  <c r="AF502" i="148" s="1"/>
  <c r="AF506" i="148"/>
  <c r="AF505" i="148" s="1"/>
  <c r="AE505" i="148"/>
  <c r="AO724" i="148"/>
  <c r="AQ724" i="148"/>
  <c r="AP724" i="148"/>
  <c r="AC728" i="148"/>
  <c r="AC709" i="148"/>
  <c r="AC487" i="148"/>
  <c r="AC705" i="148" s="1"/>
  <c r="AC682" i="148"/>
  <c r="AY681" i="148"/>
  <c r="AX681" i="148"/>
  <c r="AZ681" i="148"/>
  <c r="AL739" i="148"/>
  <c r="AN739" i="148"/>
  <c r="AM739" i="148"/>
  <c r="AC642" i="148"/>
  <c r="AC733" i="148" s="1"/>
  <c r="AC734" i="148"/>
  <c r="AE701" i="148"/>
  <c r="AC580" i="148"/>
  <c r="AC721" i="148" s="1"/>
  <c r="AC722" i="148"/>
  <c r="AP716" i="148"/>
  <c r="AO716" i="148"/>
  <c r="AQ716" i="148"/>
  <c r="AL712" i="148"/>
  <c r="AN712" i="148"/>
  <c r="AM712" i="148"/>
  <c r="AL704" i="148"/>
  <c r="AN704" i="148"/>
  <c r="AM704" i="148"/>
  <c r="AD420" i="148"/>
  <c r="AD696" i="148"/>
  <c r="AC411" i="148"/>
  <c r="AC691" i="148" s="1"/>
  <c r="AC692" i="148"/>
  <c r="AD638" i="148"/>
  <c r="AD731" i="148" s="1"/>
  <c r="AD732" i="148"/>
  <c r="AP729" i="148"/>
  <c r="AO729" i="148"/>
  <c r="AQ729" i="148"/>
  <c r="AC604" i="148"/>
  <c r="AC725" i="148" s="1"/>
  <c r="AC726" i="148"/>
  <c r="AO720" i="148"/>
  <c r="AQ720" i="148"/>
  <c r="AP720" i="148"/>
  <c r="AD718" i="148"/>
  <c r="AM715" i="148"/>
  <c r="AL715" i="148"/>
  <c r="AN715" i="148"/>
  <c r="AM713" i="148"/>
  <c r="AL713" i="148"/>
  <c r="AN713" i="148"/>
  <c r="AL698" i="148"/>
  <c r="AN698" i="148"/>
  <c r="AM698" i="148"/>
  <c r="AM697" i="148"/>
  <c r="AL697" i="148"/>
  <c r="AN697" i="148"/>
  <c r="AM693" i="148"/>
  <c r="AL693" i="148"/>
  <c r="AN693" i="148"/>
  <c r="AP690" i="148"/>
  <c r="AO690" i="148"/>
  <c r="AQ690" i="148"/>
  <c r="AR727" i="148"/>
  <c r="AT727" i="148"/>
  <c r="AS727" i="148"/>
  <c r="AS691" i="148"/>
  <c r="AR691" i="148"/>
  <c r="AT691" i="148"/>
  <c r="AS726" i="148"/>
  <c r="AR726" i="148"/>
  <c r="AT726" i="148"/>
  <c r="AA346" i="148"/>
  <c r="AA680" i="148" s="1"/>
  <c r="AA681" i="148"/>
  <c r="AR710" i="148"/>
  <c r="AT710" i="148"/>
  <c r="AS710" i="148"/>
  <c r="AB347" i="148"/>
  <c r="AB682" i="148"/>
  <c r="AP704" i="148"/>
  <c r="AO704" i="148"/>
  <c r="AQ704" i="148"/>
  <c r="AD685" i="148"/>
  <c r="AI689" i="148"/>
  <c r="AK689" i="148"/>
  <c r="AJ689" i="148"/>
  <c r="AE602" i="148"/>
  <c r="AF603" i="148"/>
  <c r="AF602" i="148" s="1"/>
  <c r="AB430" i="148"/>
  <c r="AB699" i="148" s="1"/>
  <c r="AB700" i="148"/>
  <c r="AE706" i="148"/>
  <c r="AG683" i="148"/>
  <c r="AH683" i="148"/>
  <c r="AS734" i="148"/>
  <c r="AR734" i="148"/>
  <c r="AT734" i="148"/>
  <c r="AM701" i="148"/>
  <c r="AL701" i="148"/>
  <c r="AN701" i="148"/>
  <c r="AR721" i="148"/>
  <c r="AT721" i="148"/>
  <c r="AS721" i="148"/>
  <c r="AP696" i="148"/>
  <c r="AO696" i="148"/>
  <c r="AQ696" i="148"/>
  <c r="AP731" i="148"/>
  <c r="AO731" i="148"/>
  <c r="AQ731" i="148"/>
  <c r="AO718" i="148"/>
  <c r="AQ718" i="148"/>
  <c r="AP718" i="148"/>
  <c r="AD437" i="148"/>
  <c r="AD501" i="148"/>
  <c r="AB651" i="148"/>
  <c r="AB736" i="148" s="1"/>
  <c r="AC651" i="148"/>
  <c r="AC736" i="148" s="1"/>
  <c r="AC737" i="148"/>
  <c r="AS705" i="148"/>
  <c r="AR705" i="148"/>
  <c r="AT705" i="148"/>
  <c r="AL706" i="148"/>
  <c r="AN706" i="148"/>
  <c r="AM706" i="148"/>
  <c r="AR694" i="148"/>
  <c r="AT694" i="148"/>
  <c r="AS694" i="148"/>
  <c r="AD598" i="148"/>
  <c r="AD595" i="148" s="1"/>
  <c r="AD724" i="148" s="1"/>
  <c r="AE599" i="148"/>
  <c r="AO738" i="148"/>
  <c r="AQ738" i="148"/>
  <c r="AP738" i="148"/>
  <c r="AP735" i="148"/>
  <c r="AO735" i="148"/>
  <c r="AQ735" i="148"/>
  <c r="AP723" i="148"/>
  <c r="AO723" i="148"/>
  <c r="AQ723" i="148"/>
  <c r="AP719" i="148"/>
  <c r="AO719" i="148"/>
  <c r="AQ719" i="148"/>
  <c r="AL714" i="148"/>
  <c r="AN714" i="148"/>
  <c r="AM714" i="148"/>
  <c r="AD711" i="148"/>
  <c r="AM703" i="148"/>
  <c r="AL703" i="148"/>
  <c r="AN703" i="148"/>
  <c r="AM687" i="148"/>
  <c r="AL687" i="148"/>
  <c r="AN687" i="148"/>
  <c r="AO685" i="148"/>
  <c r="AQ685" i="148"/>
  <c r="AP685" i="148"/>
  <c r="AR708" i="148"/>
  <c r="AT708" i="148"/>
  <c r="AS708" i="148"/>
  <c r="AX680" i="148"/>
  <c r="AZ680" i="148"/>
  <c r="AY680" i="148"/>
  <c r="AS695" i="148"/>
  <c r="AR695" i="148"/>
  <c r="AT695" i="148"/>
  <c r="AI683" i="148"/>
  <c r="AK683" i="148"/>
  <c r="AJ683" i="148"/>
  <c r="AE672" i="148"/>
  <c r="AE671" i="148" s="1"/>
  <c r="AE739" i="148" s="1"/>
  <c r="AF673" i="148"/>
  <c r="AF672" i="148" s="1"/>
  <c r="AF671" i="148" s="1"/>
  <c r="AF739" i="148" s="1"/>
  <c r="AD666" i="148"/>
  <c r="AE667" i="148"/>
  <c r="AD649" i="148"/>
  <c r="AD648" i="148" s="1"/>
  <c r="AD735" i="148" s="1"/>
  <c r="AE650" i="148"/>
  <c r="AD644" i="148"/>
  <c r="AD643" i="148" s="1"/>
  <c r="AE645" i="148"/>
  <c r="AD636" i="148"/>
  <c r="AE637" i="148"/>
  <c r="AD632" i="148"/>
  <c r="AE633" i="148"/>
  <c r="AE626" i="148"/>
  <c r="AF627" i="148"/>
  <c r="AF626" i="148" s="1"/>
  <c r="AD618" i="148"/>
  <c r="AE619" i="148"/>
  <c r="AE614" i="148"/>
  <c r="AF615" i="148"/>
  <c r="AF614" i="148" s="1"/>
  <c r="AF701" i="148"/>
  <c r="AD593" i="148"/>
  <c r="AE594" i="148"/>
  <c r="AD587" i="148"/>
  <c r="AD586" i="148" s="1"/>
  <c r="AD723" i="148" s="1"/>
  <c r="AE588" i="148"/>
  <c r="AD582" i="148"/>
  <c r="AD581" i="148" s="1"/>
  <c r="AE583" i="148"/>
  <c r="AD573" i="148"/>
  <c r="AD572" i="148" s="1"/>
  <c r="AD719" i="148" s="1"/>
  <c r="AE574" i="148"/>
  <c r="AD556" i="148"/>
  <c r="AD555" i="148" s="1"/>
  <c r="AD716" i="148" s="1"/>
  <c r="AE557" i="148"/>
  <c r="AE545" i="148"/>
  <c r="AE544" i="148" s="1"/>
  <c r="AE714" i="148" s="1"/>
  <c r="AF546" i="148"/>
  <c r="AF545" i="148" s="1"/>
  <c r="AF544" i="148" s="1"/>
  <c r="AF714" i="148" s="1"/>
  <c r="AE533" i="148"/>
  <c r="AE532" i="148" s="1"/>
  <c r="AE712" i="148" s="1"/>
  <c r="AF534" i="148"/>
  <c r="AF533" i="148" s="1"/>
  <c r="AF532" i="148" s="1"/>
  <c r="AF712" i="148" s="1"/>
  <c r="AE524" i="148"/>
  <c r="AF525" i="148"/>
  <c r="AF524" i="148" s="1"/>
  <c r="AE510" i="148"/>
  <c r="AF511" i="148"/>
  <c r="AF510" i="148" s="1"/>
  <c r="AE474" i="148"/>
  <c r="AF475" i="148"/>
  <c r="AF474" i="148" s="1"/>
  <c r="AE447" i="148"/>
  <c r="AF448" i="148"/>
  <c r="AF447" i="148" s="1"/>
  <c r="AD520" i="148"/>
  <c r="AD513" i="148" s="1"/>
  <c r="AD709" i="148" s="1"/>
  <c r="AE521" i="148"/>
  <c r="AE468" i="148"/>
  <c r="AE703" i="148" s="1"/>
  <c r="AF469" i="148"/>
  <c r="AF468" i="148" s="1"/>
  <c r="AF703" i="148" s="1"/>
  <c r="AE421" i="148"/>
  <c r="AF422" i="148"/>
  <c r="AF421" i="148" s="1"/>
  <c r="AD412" i="148"/>
  <c r="AE413" i="148"/>
  <c r="AE382" i="148"/>
  <c r="AE687" i="148" s="1"/>
  <c r="AF383" i="148"/>
  <c r="AF382" i="148" s="1"/>
  <c r="AF687" i="148" s="1"/>
  <c r="AD669" i="148"/>
  <c r="AE670" i="148"/>
  <c r="AD657" i="148"/>
  <c r="AD652" i="148" s="1"/>
  <c r="AE658" i="148"/>
  <c r="AE653" i="148"/>
  <c r="AF654" i="148"/>
  <c r="AF653" i="148" s="1"/>
  <c r="AE646" i="148"/>
  <c r="AF647" i="148"/>
  <c r="AF646" i="148" s="1"/>
  <c r="AE640" i="148"/>
  <c r="AE639" i="148" s="1"/>
  <c r="AF641" i="148"/>
  <c r="AF640" i="148" s="1"/>
  <c r="AF639" i="148" s="1"/>
  <c r="AE634" i="148"/>
  <c r="AF635" i="148"/>
  <c r="AF634" i="148" s="1"/>
  <c r="AD629" i="148"/>
  <c r="AD628" i="148" s="1"/>
  <c r="AD730" i="148" s="1"/>
  <c r="AE630" i="148"/>
  <c r="AD622" i="148"/>
  <c r="AD621" i="148" s="1"/>
  <c r="AD729" i="148" s="1"/>
  <c r="AE623" i="148"/>
  <c r="AD606" i="148"/>
  <c r="AD605" i="148" s="1"/>
  <c r="AE607" i="148"/>
  <c r="AE596" i="148"/>
  <c r="AF597" i="148"/>
  <c r="AF596" i="148" s="1"/>
  <c r="AE589" i="148"/>
  <c r="AF590" i="148"/>
  <c r="AF589" i="148" s="1"/>
  <c r="AE584" i="148"/>
  <c r="AF585" i="148"/>
  <c r="AF584" i="148" s="1"/>
  <c r="AD577" i="148"/>
  <c r="AD576" i="148" s="1"/>
  <c r="AD720" i="148" s="1"/>
  <c r="AE578" i="148"/>
  <c r="AE564" i="148"/>
  <c r="AE563" i="148" s="1"/>
  <c r="AF565" i="148"/>
  <c r="AF564" i="148" s="1"/>
  <c r="AF563" i="148" s="1"/>
  <c r="AE551" i="148"/>
  <c r="AE550" i="148" s="1"/>
  <c r="AE715" i="148" s="1"/>
  <c r="AF552" i="148"/>
  <c r="AF551" i="148" s="1"/>
  <c r="AF550" i="148" s="1"/>
  <c r="AF715" i="148" s="1"/>
  <c r="AE539" i="148"/>
  <c r="AE538" i="148" s="1"/>
  <c r="AE713" i="148" s="1"/>
  <c r="AF540" i="148"/>
  <c r="AF539" i="148" s="1"/>
  <c r="AF538" i="148" s="1"/>
  <c r="AF713" i="148" s="1"/>
  <c r="AE529" i="148"/>
  <c r="AF530" i="148"/>
  <c r="AF529" i="148" s="1"/>
  <c r="AE514" i="148"/>
  <c r="AF515" i="148"/>
  <c r="AF514" i="148" s="1"/>
  <c r="AE492" i="148"/>
  <c r="AF493" i="148"/>
  <c r="AF492" i="148" s="1"/>
  <c r="AE482" i="148"/>
  <c r="AF483" i="148"/>
  <c r="AF482" i="148" s="1"/>
  <c r="AE460" i="148"/>
  <c r="AF461" i="148"/>
  <c r="AF460" i="148" s="1"/>
  <c r="AE438" i="148"/>
  <c r="AE437" i="148" s="1"/>
  <c r="AE702" i="148" s="1"/>
  <c r="AF439" i="148"/>
  <c r="AF438" i="148" s="1"/>
  <c r="AF437" i="148" s="1"/>
  <c r="AF702" i="148" s="1"/>
  <c r="AE508" i="148"/>
  <c r="AE501" i="148" s="1"/>
  <c r="AE708" i="148" s="1"/>
  <c r="AF509" i="148"/>
  <c r="AF508" i="148" s="1"/>
  <c r="AF501" i="148" s="1"/>
  <c r="AF708" i="148" s="1"/>
  <c r="AE427" i="148"/>
  <c r="AE426" i="148" s="1"/>
  <c r="AE698" i="148" s="1"/>
  <c r="AF428" i="148"/>
  <c r="AF427" i="148" s="1"/>
  <c r="AF426" i="148" s="1"/>
  <c r="AF698" i="148" s="1"/>
  <c r="AE424" i="148"/>
  <c r="AE697" i="148" s="1"/>
  <c r="AF425" i="148"/>
  <c r="AF424" i="148" s="1"/>
  <c r="AF697" i="148" s="1"/>
  <c r="AE416" i="148"/>
  <c r="AE693" i="148" s="1"/>
  <c r="AF417" i="148"/>
  <c r="AF416" i="148" s="1"/>
  <c r="AF693" i="148" s="1"/>
  <c r="AD404" i="148"/>
  <c r="AD690" i="148" s="1"/>
  <c r="AE405" i="148"/>
  <c r="AS728" i="148"/>
  <c r="AR728" i="148"/>
  <c r="AT728" i="148"/>
  <c r="AR692" i="148"/>
  <c r="AT692" i="148"/>
  <c r="AS692" i="148"/>
  <c r="AR725" i="148"/>
  <c r="AT725" i="148"/>
  <c r="AS725" i="148"/>
  <c r="AV727" i="148"/>
  <c r="AU727" i="148"/>
  <c r="AW727" i="148"/>
  <c r="AC430" i="148"/>
  <c r="AC699" i="148" s="1"/>
  <c r="AC700" i="148"/>
  <c r="AR717" i="148"/>
  <c r="AT717" i="148"/>
  <c r="AS717" i="148"/>
  <c r="AS738" i="148"/>
  <c r="AR738" i="148"/>
  <c r="AT738" i="148"/>
  <c r="AC522" i="148"/>
  <c r="AC710" i="148" s="1"/>
  <c r="AC711" i="148"/>
  <c r="AE370" i="148"/>
  <c r="AF371" i="148"/>
  <c r="AF370" i="148" s="1"/>
  <c r="AG689" i="148"/>
  <c r="AH689" i="148"/>
  <c r="AR702" i="148"/>
  <c r="AT702" i="148"/>
  <c r="AS702" i="148"/>
  <c r="AF706" i="148"/>
  <c r="AR733" i="148"/>
  <c r="AT733" i="148"/>
  <c r="AS733" i="148"/>
  <c r="AS722" i="148"/>
  <c r="AR722" i="148"/>
  <c r="AT722" i="148"/>
  <c r="AC419" i="148"/>
  <c r="AC694" i="148" s="1"/>
  <c r="AC695" i="148"/>
  <c r="AO732" i="148"/>
  <c r="AQ732" i="148"/>
  <c r="AP732" i="148"/>
  <c r="AR737" i="148"/>
  <c r="AT737" i="148"/>
  <c r="AS737" i="148"/>
  <c r="AD613" i="148"/>
  <c r="AC628" i="148"/>
  <c r="AC730" i="148" s="1"/>
  <c r="AC562" i="148"/>
  <c r="AC717" i="148" s="1"/>
  <c r="AM707" i="148" l="1"/>
  <c r="AL707" i="148"/>
  <c r="AN707" i="148"/>
  <c r="AE499" i="148"/>
  <c r="AE491" i="148" s="1"/>
  <c r="AE707" i="148" s="1"/>
  <c r="AF500" i="148"/>
  <c r="AF499" i="148" s="1"/>
  <c r="AF491" i="148" s="1"/>
  <c r="AF707" i="148" s="1"/>
  <c r="AE517" i="148"/>
  <c r="AF518" i="148"/>
  <c r="AF517" i="148" s="1"/>
  <c r="AD737" i="148"/>
  <c r="AM709" i="148"/>
  <c r="AL709" i="148"/>
  <c r="AN709" i="148"/>
  <c r="AM724" i="148"/>
  <c r="AL724" i="148"/>
  <c r="AN724" i="148"/>
  <c r="AO730" i="148"/>
  <c r="AQ730" i="148"/>
  <c r="AP730" i="148"/>
  <c r="AH706" i="148"/>
  <c r="AG706" i="148"/>
  <c r="AP710" i="148"/>
  <c r="AO710" i="148"/>
  <c r="AQ710" i="148"/>
  <c r="AO699" i="148"/>
  <c r="AQ699" i="148"/>
  <c r="AP699" i="148"/>
  <c r="AL690" i="148"/>
  <c r="AN690" i="148"/>
  <c r="AM690" i="148"/>
  <c r="AI693" i="148"/>
  <c r="AK693" i="148"/>
  <c r="AJ693" i="148"/>
  <c r="AI697" i="148"/>
  <c r="AK697" i="148"/>
  <c r="AJ697" i="148"/>
  <c r="AJ698" i="148"/>
  <c r="AI698" i="148"/>
  <c r="AK698" i="148"/>
  <c r="AJ708" i="148"/>
  <c r="AI708" i="148"/>
  <c r="AJ702" i="148"/>
  <c r="AI702" i="148"/>
  <c r="AI713" i="148"/>
  <c r="AK713" i="148"/>
  <c r="AJ713" i="148"/>
  <c r="AI715" i="148"/>
  <c r="AK715" i="148"/>
  <c r="AJ715" i="148"/>
  <c r="AE718" i="148"/>
  <c r="AM720" i="148"/>
  <c r="AL720" i="148"/>
  <c r="AN720" i="148"/>
  <c r="AD604" i="148"/>
  <c r="AD725" i="148" s="1"/>
  <c r="AD726" i="148"/>
  <c r="AL729" i="148"/>
  <c r="AN729" i="148"/>
  <c r="AM729" i="148"/>
  <c r="AM730" i="148"/>
  <c r="AL730" i="148"/>
  <c r="AN730" i="148"/>
  <c r="AE638" i="148"/>
  <c r="AE731" i="148" s="1"/>
  <c r="AE732" i="148"/>
  <c r="AI687" i="148"/>
  <c r="AK687" i="148"/>
  <c r="AJ687" i="148"/>
  <c r="AD411" i="148"/>
  <c r="AD691" i="148" s="1"/>
  <c r="AD692" i="148"/>
  <c r="AE420" i="148"/>
  <c r="AE696" i="148"/>
  <c r="AI703" i="148"/>
  <c r="AK703" i="148"/>
  <c r="AJ703" i="148"/>
  <c r="AJ712" i="148"/>
  <c r="AI712" i="148"/>
  <c r="AK712" i="148"/>
  <c r="AJ714" i="148"/>
  <c r="AI714" i="148"/>
  <c r="AK714" i="148"/>
  <c r="AL716" i="148"/>
  <c r="AN716" i="148"/>
  <c r="AM716" i="148"/>
  <c r="AL719" i="148"/>
  <c r="AN719" i="148"/>
  <c r="AM719" i="148"/>
  <c r="AD580" i="148"/>
  <c r="AD721" i="148" s="1"/>
  <c r="AD722" i="148"/>
  <c r="AL723" i="148"/>
  <c r="AN723" i="148"/>
  <c r="AM723" i="148"/>
  <c r="AD642" i="148"/>
  <c r="AD733" i="148" s="1"/>
  <c r="AD734" i="148"/>
  <c r="AL735" i="148"/>
  <c r="AN735" i="148"/>
  <c r="AM735" i="148"/>
  <c r="AJ739" i="148"/>
  <c r="AI739" i="148"/>
  <c r="AK739" i="148"/>
  <c r="AM711" i="148"/>
  <c r="AL711" i="148"/>
  <c r="AN711" i="148"/>
  <c r="AP737" i="148"/>
  <c r="AO737" i="148"/>
  <c r="AQ737" i="148"/>
  <c r="AS736" i="148"/>
  <c r="AR736" i="148"/>
  <c r="AT736" i="148"/>
  <c r="AD702" i="148"/>
  <c r="AK702" i="148" s="1"/>
  <c r="AD431" i="148"/>
  <c r="AJ706" i="148"/>
  <c r="AI706" i="148"/>
  <c r="AK706" i="148"/>
  <c r="AR700" i="148"/>
  <c r="AT700" i="148"/>
  <c r="AS700" i="148"/>
  <c r="AM685" i="148"/>
  <c r="AL685" i="148"/>
  <c r="AN685" i="148"/>
  <c r="AR682" i="148"/>
  <c r="AT682" i="148"/>
  <c r="AS682" i="148"/>
  <c r="AV680" i="148"/>
  <c r="AU680" i="148"/>
  <c r="AW680" i="148"/>
  <c r="AO726" i="148"/>
  <c r="AQ726" i="148"/>
  <c r="AP726" i="148"/>
  <c r="AL731" i="148"/>
  <c r="AN731" i="148"/>
  <c r="AM731" i="148"/>
  <c r="AO691" i="148"/>
  <c r="AQ691" i="148"/>
  <c r="AP691" i="148"/>
  <c r="AD419" i="148"/>
  <c r="AD694" i="148" s="1"/>
  <c r="AD695" i="148"/>
  <c r="AO722" i="148"/>
  <c r="AQ722" i="148"/>
  <c r="AP722" i="148"/>
  <c r="AI701" i="148"/>
  <c r="AK701" i="148"/>
  <c r="AJ701" i="148"/>
  <c r="AO734" i="148"/>
  <c r="AQ734" i="148"/>
  <c r="AP734" i="148"/>
  <c r="AP682" i="148"/>
  <c r="AO682" i="148"/>
  <c r="AQ682" i="148"/>
  <c r="AO705" i="148"/>
  <c r="AQ705" i="148"/>
  <c r="AP705" i="148"/>
  <c r="AO728" i="148"/>
  <c r="AQ728" i="148"/>
  <c r="AP728" i="148"/>
  <c r="AE473" i="148"/>
  <c r="AE472" i="148" s="1"/>
  <c r="AE704" i="148" s="1"/>
  <c r="AE523" i="148"/>
  <c r="AF431" i="148"/>
  <c r="AD665" i="148"/>
  <c r="AD738" i="148" s="1"/>
  <c r="AD562" i="148"/>
  <c r="AD717" i="148" s="1"/>
  <c r="AO695" i="148"/>
  <c r="AQ695" i="148"/>
  <c r="AP695" i="148"/>
  <c r="AE685" i="148"/>
  <c r="AP717" i="148"/>
  <c r="AQ717" i="148"/>
  <c r="AO717" i="148"/>
  <c r="AD612" i="148"/>
  <c r="AD727" i="148" s="1"/>
  <c r="AD728" i="148"/>
  <c r="AP694" i="148"/>
  <c r="AO694" i="148"/>
  <c r="AQ694" i="148"/>
  <c r="AF685" i="148"/>
  <c r="AO711" i="148"/>
  <c r="AQ711" i="148"/>
  <c r="AP711" i="148"/>
  <c r="AP700" i="148"/>
  <c r="AO700" i="148"/>
  <c r="AQ700" i="148"/>
  <c r="AE404" i="148"/>
  <c r="AE690" i="148" s="1"/>
  <c r="AF405" i="148"/>
  <c r="AF404" i="148" s="1"/>
  <c r="AF690" i="148" s="1"/>
  <c r="AG693" i="148"/>
  <c r="AH693" i="148"/>
  <c r="AG697" i="148"/>
  <c r="AH697" i="148"/>
  <c r="AH698" i="148"/>
  <c r="AG698" i="148"/>
  <c r="AH708" i="148"/>
  <c r="AG708" i="148"/>
  <c r="AH702" i="148"/>
  <c r="AG702" i="148"/>
  <c r="AG713" i="148"/>
  <c r="AH713" i="148"/>
  <c r="AG715" i="148"/>
  <c r="AH715" i="148"/>
  <c r="AF718" i="148"/>
  <c r="AE577" i="148"/>
  <c r="AE576" i="148" s="1"/>
  <c r="AE720" i="148" s="1"/>
  <c r="AF578" i="148"/>
  <c r="AF577" i="148" s="1"/>
  <c r="AF576" i="148" s="1"/>
  <c r="AF720" i="148" s="1"/>
  <c r="AE606" i="148"/>
  <c r="AE605" i="148" s="1"/>
  <c r="AF607" i="148"/>
  <c r="AF606" i="148" s="1"/>
  <c r="AF605" i="148" s="1"/>
  <c r="AE622" i="148"/>
  <c r="AE621" i="148" s="1"/>
  <c r="AE729" i="148" s="1"/>
  <c r="AF623" i="148"/>
  <c r="AF622" i="148" s="1"/>
  <c r="AF621" i="148" s="1"/>
  <c r="AF729" i="148" s="1"/>
  <c r="AE629" i="148"/>
  <c r="AF630" i="148"/>
  <c r="AF629" i="148" s="1"/>
  <c r="AF638" i="148"/>
  <c r="AF731" i="148" s="1"/>
  <c r="AF732" i="148"/>
  <c r="AE657" i="148"/>
  <c r="AE652" i="148" s="1"/>
  <c r="AF658" i="148"/>
  <c r="AF657" i="148" s="1"/>
  <c r="AE669" i="148"/>
  <c r="AF670" i="148"/>
  <c r="AF669" i="148" s="1"/>
  <c r="AG687" i="148"/>
  <c r="AH687" i="148"/>
  <c r="AE412" i="148"/>
  <c r="AF413" i="148"/>
  <c r="AF412" i="148" s="1"/>
  <c r="AF420" i="148"/>
  <c r="AF696" i="148"/>
  <c r="AG703" i="148"/>
  <c r="AH703" i="148"/>
  <c r="AE520" i="148"/>
  <c r="AE513" i="148" s="1"/>
  <c r="AF521" i="148"/>
  <c r="AF520" i="148" s="1"/>
  <c r="AH712" i="148"/>
  <c r="AG712" i="148"/>
  <c r="AH714" i="148"/>
  <c r="AG714" i="148"/>
  <c r="AE556" i="148"/>
  <c r="AE555" i="148" s="1"/>
  <c r="AE716" i="148" s="1"/>
  <c r="AF557" i="148"/>
  <c r="AF556" i="148" s="1"/>
  <c r="AF555" i="148" s="1"/>
  <c r="AF716" i="148" s="1"/>
  <c r="AE573" i="148"/>
  <c r="AE572" i="148" s="1"/>
  <c r="AE719" i="148" s="1"/>
  <c r="AF574" i="148"/>
  <c r="AF573" i="148" s="1"/>
  <c r="AF572" i="148" s="1"/>
  <c r="AF719" i="148" s="1"/>
  <c r="AE582" i="148"/>
  <c r="AE581" i="148" s="1"/>
  <c r="AF583" i="148"/>
  <c r="AF582" i="148" s="1"/>
  <c r="AF581" i="148" s="1"/>
  <c r="AE587" i="148"/>
  <c r="AF588" i="148"/>
  <c r="AF587" i="148" s="1"/>
  <c r="AE593" i="148"/>
  <c r="AF594" i="148"/>
  <c r="AF593" i="148" s="1"/>
  <c r="AG701" i="148"/>
  <c r="AH701" i="148"/>
  <c r="AE618" i="148"/>
  <c r="AE613" i="148" s="1"/>
  <c r="AF619" i="148"/>
  <c r="AF618" i="148" s="1"/>
  <c r="AE632" i="148"/>
  <c r="AF633" i="148"/>
  <c r="AF632" i="148" s="1"/>
  <c r="AE636" i="148"/>
  <c r="AF637" i="148"/>
  <c r="AF636" i="148" s="1"/>
  <c r="AE644" i="148"/>
  <c r="AE643" i="148" s="1"/>
  <c r="AF645" i="148"/>
  <c r="AF644" i="148" s="1"/>
  <c r="AF643" i="148" s="1"/>
  <c r="AE649" i="148"/>
  <c r="AE648" i="148" s="1"/>
  <c r="AE735" i="148" s="1"/>
  <c r="AF650" i="148"/>
  <c r="AF649" i="148" s="1"/>
  <c r="AF648" i="148" s="1"/>
  <c r="AF735" i="148" s="1"/>
  <c r="AE666" i="148"/>
  <c r="AE665" i="148" s="1"/>
  <c r="AE738" i="148" s="1"/>
  <c r="AF667" i="148"/>
  <c r="AF666" i="148" s="1"/>
  <c r="AF665" i="148" s="1"/>
  <c r="AF738" i="148" s="1"/>
  <c r="AH739" i="148"/>
  <c r="AG739" i="148"/>
  <c r="AE598" i="148"/>
  <c r="AE595" i="148" s="1"/>
  <c r="AE724" i="148" s="1"/>
  <c r="AF599" i="148"/>
  <c r="AF598" i="148" s="1"/>
  <c r="AF595" i="148" s="1"/>
  <c r="AF724" i="148" s="1"/>
  <c r="AO736" i="148"/>
  <c r="AQ736" i="148"/>
  <c r="AP736" i="148"/>
  <c r="AD708" i="148"/>
  <c r="AD487" i="148"/>
  <c r="AD705" i="148" s="1"/>
  <c r="AS699" i="148"/>
  <c r="AR699" i="148"/>
  <c r="AT699" i="148"/>
  <c r="AB346" i="148"/>
  <c r="AB680" i="148" s="1"/>
  <c r="AB681" i="148"/>
  <c r="AU681" i="148"/>
  <c r="AW681" i="148"/>
  <c r="AV681" i="148"/>
  <c r="AM718" i="148"/>
  <c r="AL718" i="148"/>
  <c r="AN718" i="148"/>
  <c r="AP725" i="148"/>
  <c r="AO725" i="148"/>
  <c r="AQ725" i="148"/>
  <c r="AM732" i="148"/>
  <c r="AL732" i="148"/>
  <c r="AN732" i="148"/>
  <c r="AP692" i="148"/>
  <c r="AO692" i="148"/>
  <c r="AQ692" i="148"/>
  <c r="AL696" i="148"/>
  <c r="AN696" i="148"/>
  <c r="AM696" i="148"/>
  <c r="AP721" i="148"/>
  <c r="AO721" i="148"/>
  <c r="AQ721" i="148"/>
  <c r="AP733" i="148"/>
  <c r="AO733" i="148"/>
  <c r="AQ733" i="148"/>
  <c r="AO709" i="148"/>
  <c r="AQ709" i="148"/>
  <c r="AP709" i="148"/>
  <c r="AF513" i="148"/>
  <c r="AF652" i="148"/>
  <c r="AF473" i="148"/>
  <c r="AF472" i="148" s="1"/>
  <c r="AF704" i="148" s="1"/>
  <c r="AF523" i="148"/>
  <c r="AF613" i="148"/>
  <c r="AD522" i="148"/>
  <c r="AD710" i="148" s="1"/>
  <c r="AD348" i="148"/>
  <c r="AE431" i="148"/>
  <c r="AC347" i="148"/>
  <c r="AC612" i="148"/>
  <c r="AC727" i="148" s="1"/>
  <c r="AK707" i="148" l="1"/>
  <c r="AJ707" i="148"/>
  <c r="AI707" i="148"/>
  <c r="AG707" i="148"/>
  <c r="AH707" i="148"/>
  <c r="AI724" i="148"/>
  <c r="AK724" i="148"/>
  <c r="AJ724" i="148"/>
  <c r="AE728" i="148"/>
  <c r="AE709" i="148"/>
  <c r="AE487" i="148"/>
  <c r="AE705" i="148" s="1"/>
  <c r="AE651" i="148"/>
  <c r="AE736" i="148" s="1"/>
  <c r="AE737" i="148"/>
  <c r="AG724" i="148"/>
  <c r="AH724" i="148"/>
  <c r="AC346" i="148"/>
  <c r="AC680" i="148" s="1"/>
  <c r="AC681" i="148"/>
  <c r="AL710" i="148"/>
  <c r="AN710" i="148"/>
  <c r="AM710" i="148"/>
  <c r="AF709" i="148"/>
  <c r="AF487" i="148"/>
  <c r="AF705" i="148" s="1"/>
  <c r="AS681" i="148"/>
  <c r="AR681" i="148"/>
  <c r="AT681" i="148"/>
  <c r="AL708" i="148"/>
  <c r="AN708" i="148"/>
  <c r="AM708" i="148"/>
  <c r="AG738" i="148"/>
  <c r="AH738" i="148"/>
  <c r="AH735" i="148"/>
  <c r="AG735" i="148"/>
  <c r="AF642" i="148"/>
  <c r="AF733" i="148" s="1"/>
  <c r="AF734" i="148"/>
  <c r="AF722" i="148"/>
  <c r="AH719" i="148"/>
  <c r="AG719" i="148"/>
  <c r="AH716" i="148"/>
  <c r="AG716" i="148"/>
  <c r="AH696" i="148"/>
  <c r="AG696" i="148"/>
  <c r="AF411" i="148"/>
  <c r="AF691" i="148" s="1"/>
  <c r="AF692" i="148"/>
  <c r="AG732" i="148"/>
  <c r="AH732" i="148"/>
  <c r="AH729" i="148"/>
  <c r="AG729" i="148"/>
  <c r="AF604" i="148"/>
  <c r="AF725" i="148" s="1"/>
  <c r="AF726" i="148"/>
  <c r="AG720" i="148"/>
  <c r="AH720" i="148"/>
  <c r="AG718" i="148"/>
  <c r="AH718" i="148"/>
  <c r="AH690" i="148"/>
  <c r="AG690" i="148"/>
  <c r="AL727" i="148"/>
  <c r="AN727" i="148"/>
  <c r="AM727" i="148"/>
  <c r="AM738" i="148"/>
  <c r="AL738" i="148"/>
  <c r="AN738" i="148"/>
  <c r="AF430" i="148"/>
  <c r="AF699" i="148" s="1"/>
  <c r="AF700" i="148"/>
  <c r="AJ704" i="148"/>
  <c r="AI704" i="148"/>
  <c r="AK704" i="148"/>
  <c r="AM695" i="148"/>
  <c r="AL695" i="148"/>
  <c r="AN695" i="148"/>
  <c r="AD430" i="148"/>
  <c r="AD699" i="148" s="1"/>
  <c r="AD700" i="148"/>
  <c r="AL733" i="148"/>
  <c r="AN733" i="148"/>
  <c r="AM733" i="148"/>
  <c r="AM722" i="148"/>
  <c r="AL722" i="148"/>
  <c r="AN722" i="148"/>
  <c r="AE419" i="148"/>
  <c r="AE694" i="148" s="1"/>
  <c r="AE695" i="148"/>
  <c r="AM691" i="148"/>
  <c r="AL691" i="148"/>
  <c r="AN691" i="148"/>
  <c r="AI732" i="148"/>
  <c r="AK732" i="148"/>
  <c r="AJ732" i="148"/>
  <c r="AM726" i="148"/>
  <c r="AL726" i="148"/>
  <c r="AN726" i="148"/>
  <c r="AF586" i="148"/>
  <c r="AF723" i="148" s="1"/>
  <c r="AF628" i="148"/>
  <c r="AF730" i="148" s="1"/>
  <c r="AF348" i="148"/>
  <c r="AE348" i="148"/>
  <c r="AE562" i="148"/>
  <c r="AE717" i="148" s="1"/>
  <c r="AD651" i="148"/>
  <c r="AD736" i="148" s="1"/>
  <c r="AD347" i="148"/>
  <c r="AD682" i="148"/>
  <c r="AF522" i="148"/>
  <c r="AF710" i="148" s="1"/>
  <c r="AF711" i="148"/>
  <c r="AF651" i="148"/>
  <c r="AF736" i="148" s="1"/>
  <c r="AF737" i="148"/>
  <c r="AP727" i="148"/>
  <c r="AO727" i="148"/>
  <c r="AQ727" i="148"/>
  <c r="AE430" i="148"/>
  <c r="AE699" i="148" s="1"/>
  <c r="AE700" i="148"/>
  <c r="AF612" i="148"/>
  <c r="AF727" i="148" s="1"/>
  <c r="AF728" i="148"/>
  <c r="AH704" i="148"/>
  <c r="AG704" i="148"/>
  <c r="AR680" i="148"/>
  <c r="AT680" i="148"/>
  <c r="AS680" i="148"/>
  <c r="AM705" i="148"/>
  <c r="AL705" i="148"/>
  <c r="AN705" i="148"/>
  <c r="AI738" i="148"/>
  <c r="AK738" i="148"/>
  <c r="AJ738" i="148"/>
  <c r="AJ735" i="148"/>
  <c r="AI735" i="148"/>
  <c r="AK735" i="148"/>
  <c r="AE642" i="148"/>
  <c r="AE733" i="148" s="1"/>
  <c r="AE734" i="148"/>
  <c r="AE722" i="148"/>
  <c r="AJ719" i="148"/>
  <c r="AI719" i="148"/>
  <c r="AK719" i="148"/>
  <c r="AJ716" i="148"/>
  <c r="AI716" i="148"/>
  <c r="AK716" i="148"/>
  <c r="AF419" i="148"/>
  <c r="AF694" i="148" s="1"/>
  <c r="AF695" i="148"/>
  <c r="AE411" i="148"/>
  <c r="AE691" i="148" s="1"/>
  <c r="AE692" i="148"/>
  <c r="AH731" i="148"/>
  <c r="AG731" i="148"/>
  <c r="AJ729" i="148"/>
  <c r="AI729" i="148"/>
  <c r="AK729" i="148"/>
  <c r="AE604" i="148"/>
  <c r="AE725" i="148" s="1"/>
  <c r="AE726" i="148"/>
  <c r="AI720" i="148"/>
  <c r="AK720" i="148"/>
  <c r="AJ720" i="148"/>
  <c r="AJ690" i="148"/>
  <c r="AI690" i="148"/>
  <c r="AK690" i="148"/>
  <c r="AG685" i="148"/>
  <c r="AH685" i="148"/>
  <c r="AM728" i="148"/>
  <c r="AL728" i="148"/>
  <c r="AN728" i="148"/>
  <c r="AI685" i="148"/>
  <c r="AK685" i="148"/>
  <c r="AJ685" i="148"/>
  <c r="AL717" i="148"/>
  <c r="AN717" i="148"/>
  <c r="AM717" i="148"/>
  <c r="AE522" i="148"/>
  <c r="AE710" i="148" s="1"/>
  <c r="AE711" i="148"/>
  <c r="AL694" i="148"/>
  <c r="AN694" i="148"/>
  <c r="AM694" i="148"/>
  <c r="AL702" i="148"/>
  <c r="AN702" i="148"/>
  <c r="AM702" i="148"/>
  <c r="AM734" i="148"/>
  <c r="AL734" i="148"/>
  <c r="AN734" i="148"/>
  <c r="AL721" i="148"/>
  <c r="AN721" i="148"/>
  <c r="AM721" i="148"/>
  <c r="AJ696" i="148"/>
  <c r="AI696" i="148"/>
  <c r="AK696" i="148"/>
  <c r="AL692" i="148"/>
  <c r="AN692" i="148"/>
  <c r="AM692" i="148"/>
  <c r="AJ731" i="148"/>
  <c r="AI731" i="148"/>
  <c r="AK731" i="148"/>
  <c r="AL725" i="148"/>
  <c r="AN725" i="148"/>
  <c r="AM725" i="148"/>
  <c r="AI718" i="148"/>
  <c r="AK718" i="148"/>
  <c r="AJ718" i="148"/>
  <c r="AL737" i="148"/>
  <c r="AN737" i="148"/>
  <c r="AM737" i="148"/>
  <c r="AE586" i="148"/>
  <c r="AE723" i="148" s="1"/>
  <c r="AE628" i="148"/>
  <c r="AE730" i="148" s="1"/>
  <c r="AF562" i="148"/>
  <c r="AF717" i="148" s="1"/>
  <c r="AK708" i="148"/>
  <c r="AH717" i="148" l="1"/>
  <c r="AG717" i="148"/>
  <c r="AJ723" i="148"/>
  <c r="AI723" i="148"/>
  <c r="AK723" i="148"/>
  <c r="AJ710" i="148"/>
  <c r="AI710" i="148"/>
  <c r="AK710" i="148"/>
  <c r="AI726" i="148"/>
  <c r="AK726" i="148"/>
  <c r="AJ726" i="148"/>
  <c r="AI691" i="148"/>
  <c r="AK691" i="148"/>
  <c r="AJ691" i="148"/>
  <c r="AH694" i="148"/>
  <c r="AG694" i="148"/>
  <c r="AJ733" i="148"/>
  <c r="AI733" i="148"/>
  <c r="AK733" i="148"/>
  <c r="AG727" i="148"/>
  <c r="AI699" i="148"/>
  <c r="AK699" i="148"/>
  <c r="AJ699" i="148"/>
  <c r="AH737" i="148"/>
  <c r="AG737" i="148"/>
  <c r="AG711" i="148"/>
  <c r="AH711" i="148"/>
  <c r="AL682" i="148"/>
  <c r="AN682" i="148"/>
  <c r="AM682" i="148"/>
  <c r="AM736" i="148"/>
  <c r="AL736" i="148"/>
  <c r="AN736" i="148"/>
  <c r="AE347" i="148"/>
  <c r="AE682" i="148"/>
  <c r="AG730" i="148"/>
  <c r="AH730" i="148"/>
  <c r="AJ694" i="148"/>
  <c r="AI694" i="148"/>
  <c r="AK694" i="148"/>
  <c r="AM699" i="148"/>
  <c r="AL699" i="148"/>
  <c r="AN699" i="148"/>
  <c r="AG699" i="148"/>
  <c r="AH699" i="148"/>
  <c r="AH725" i="148"/>
  <c r="AG725" i="148"/>
  <c r="AG691" i="148"/>
  <c r="AH691" i="148"/>
  <c r="AH733" i="148"/>
  <c r="AG733" i="148"/>
  <c r="AG709" i="148"/>
  <c r="AH709" i="148"/>
  <c r="AO681" i="148"/>
  <c r="AQ681" i="148"/>
  <c r="AP681" i="148"/>
  <c r="AJ737" i="148"/>
  <c r="AI737" i="148"/>
  <c r="AK737" i="148"/>
  <c r="AI705" i="148"/>
  <c r="AK705" i="148"/>
  <c r="AJ705" i="148"/>
  <c r="AI728" i="148"/>
  <c r="AK728" i="148"/>
  <c r="AJ728" i="148"/>
  <c r="AE580" i="148"/>
  <c r="AE721" i="148" s="1"/>
  <c r="AF580" i="148"/>
  <c r="AF721" i="148" s="1"/>
  <c r="AI730" i="148"/>
  <c r="AK730" i="148"/>
  <c r="AJ730" i="148"/>
  <c r="AI711" i="148"/>
  <c r="AK711" i="148"/>
  <c r="AJ711" i="148"/>
  <c r="AJ725" i="148"/>
  <c r="AI725" i="148"/>
  <c r="AK725" i="148"/>
  <c r="AJ692" i="148"/>
  <c r="AI692" i="148"/>
  <c r="AK692" i="148"/>
  <c r="AG695" i="148"/>
  <c r="AH695" i="148"/>
  <c r="AI722" i="148"/>
  <c r="AK722" i="148"/>
  <c r="AJ722" i="148"/>
  <c r="AI734" i="148"/>
  <c r="AK734" i="148"/>
  <c r="AJ734" i="148"/>
  <c r="AG728" i="148"/>
  <c r="AH728" i="148"/>
  <c r="AJ700" i="148"/>
  <c r="AI700" i="148"/>
  <c r="AK700" i="148"/>
  <c r="AG736" i="148"/>
  <c r="AH736" i="148"/>
  <c r="AH710" i="148"/>
  <c r="AG710" i="148"/>
  <c r="AD346" i="148"/>
  <c r="AD680" i="148" s="1"/>
  <c r="AD681" i="148"/>
  <c r="AJ717" i="148"/>
  <c r="AI717" i="148"/>
  <c r="AK717" i="148"/>
  <c r="AF347" i="148"/>
  <c r="AF682" i="148"/>
  <c r="AH723" i="148"/>
  <c r="AG723" i="148"/>
  <c r="AI695" i="148"/>
  <c r="AK695" i="148"/>
  <c r="AJ695" i="148"/>
  <c r="AL700" i="148"/>
  <c r="AN700" i="148"/>
  <c r="AM700" i="148"/>
  <c r="AH700" i="148"/>
  <c r="AG700" i="148"/>
  <c r="AG726" i="148"/>
  <c r="AH726" i="148"/>
  <c r="AH692" i="148"/>
  <c r="AG692" i="148"/>
  <c r="AG722" i="148"/>
  <c r="AH722" i="148"/>
  <c r="AG734" i="148"/>
  <c r="AH734" i="148"/>
  <c r="AG705" i="148"/>
  <c r="AH705" i="148"/>
  <c r="AP680" i="148"/>
  <c r="AO680" i="148"/>
  <c r="AQ680" i="148"/>
  <c r="AI736" i="148"/>
  <c r="AK736" i="148"/>
  <c r="AJ736" i="148"/>
  <c r="AI709" i="148"/>
  <c r="AK709" i="148"/>
  <c r="AJ709" i="148"/>
  <c r="AE612" i="148"/>
  <c r="AE727" i="148" s="1"/>
  <c r="AF346" i="148" l="1"/>
  <c r="AF680" i="148" s="1"/>
  <c r="AF681" i="148"/>
  <c r="AM681" i="148"/>
  <c r="AL681" i="148"/>
  <c r="AN681" i="148"/>
  <c r="AJ721" i="148"/>
  <c r="AI721" i="148"/>
  <c r="AK721" i="148"/>
  <c r="AE346" i="148"/>
  <c r="AE680" i="148" s="1"/>
  <c r="AE681" i="148"/>
  <c r="AJ727" i="148"/>
  <c r="AI727" i="148"/>
  <c r="AK727" i="148"/>
  <c r="AH682" i="148"/>
  <c r="AG682" i="148"/>
  <c r="AL680" i="148"/>
  <c r="AN680" i="148"/>
  <c r="AM680" i="148"/>
  <c r="AH721" i="148"/>
  <c r="AG721" i="148"/>
  <c r="AJ682" i="148"/>
  <c r="AI682" i="148"/>
  <c r="AK682" i="148"/>
  <c r="AH727" i="148"/>
  <c r="AJ680" i="148" l="1"/>
  <c r="AI680" i="148"/>
  <c r="AK680" i="148"/>
  <c r="AH680" i="148"/>
  <c r="AG680" i="148"/>
  <c r="AI681" i="148"/>
  <c r="AK681" i="148"/>
  <c r="AJ681" i="148"/>
  <c r="AG681" i="148"/>
  <c r="AH681" i="148"/>
</calcChain>
</file>

<file path=xl/sharedStrings.xml><?xml version="1.0" encoding="utf-8"?>
<sst xmlns="http://schemas.openxmlformats.org/spreadsheetml/2006/main" count="4841" uniqueCount="2415">
  <si>
    <t>Ýä õºðºíãèéí äààòãàë</t>
  </si>
  <si>
    <t>öí</t>
  </si>
  <si>
    <t>Õà÷èãò ðåêòóàç</t>
  </si>
  <si>
    <t>Òºãñôàðìàêîì</t>
  </si>
  <si>
    <t>Ñóïåðäåíò</t>
  </si>
  <si>
    <t>БҮГД</t>
  </si>
  <si>
    <t>Үүнээс</t>
  </si>
  <si>
    <t>Эмэгтэй</t>
  </si>
  <si>
    <t>А</t>
  </si>
  <si>
    <t>Найнги ХХК</t>
  </si>
  <si>
    <t>торт</t>
  </si>
  <si>
    <t>12</t>
  </si>
  <si>
    <t>22</t>
  </si>
  <si>
    <t>23</t>
  </si>
  <si>
    <t>24</t>
  </si>
  <si>
    <t>25</t>
  </si>
  <si>
    <t>26</t>
  </si>
  <si>
    <t>27</t>
  </si>
  <si>
    <t>30</t>
  </si>
  <si>
    <t>31</t>
  </si>
  <si>
    <t>32</t>
  </si>
  <si>
    <t>Èíæ óëáàà</t>
  </si>
  <si>
    <t>¯¿íýýñ: 0-1 íàñíû õ¿¿õäèéí
ýíäýãäýë</t>
  </si>
  <si>
    <t>ÍÈÉÒÈÉÍ ÀÆ ÀÕÓÉ ¯ÉË×ÈËÃÝÝ</t>
  </si>
  <si>
    <t>Óñ áîðëóóëàëòûí</t>
  </si>
  <si>
    <t>¯¿íýýñ: Õ¿í àìä áîðëóóëñíû</t>
  </si>
  <si>
    <t>Àæ àõóéí íýãæèä</t>
  </si>
  <si>
    <t>Ñóâàãæóóëàëò</t>
  </si>
  <si>
    <t>Õàëààëò</t>
  </si>
  <si>
    <t>Õàëóóí óñ</t>
  </si>
  <si>
    <t>Õîã õàÿãäàë áóñàä îðëîãî</t>
  </si>
  <si>
    <t>ýì</t>
  </si>
  <si>
    <t xml:space="preserve">                                      (Àéìãèéí ä¿íãýýð )</t>
  </si>
  <si>
    <t>áóñàä</t>
  </si>
  <si>
    <t>Òåëåâèçîðòîé</t>
  </si>
  <si>
    <t>Àíãèëàí
õàäñàí
òàëáàé</t>
  </si>
  <si>
    <t>Õóðààõ
òàëáàé</t>
  </si>
  <si>
    <t>Àâñàí
óðãàö</t>
  </si>
  <si>
    <t xml:space="preserve">    Ãà-ãèéí
óðãàö</t>
  </si>
  <si>
    <t>Öàéðóóëñàí
òàëáàé</t>
  </si>
  <si>
    <t>Õóðààñàí
òàëáàé</t>
  </si>
  <si>
    <t>Óëààíóóä</t>
  </si>
  <si>
    <t>Ñàëüìîíåëëåç</t>
  </si>
  <si>
    <t>ÍÀÀ¯-íèé îðëîãî á¿ãä /ñàÿ.òºã/</t>
  </si>
  <si>
    <t xml:space="preserve">      ªºð÷ëºëò</t>
  </si>
  <si>
    <t>Бүгд</t>
  </si>
  <si>
    <t>ìÿí.ø</t>
  </si>
  <si>
    <t>9.Äîðíîä Äýýæ ÕÕÊ</t>
  </si>
  <si>
    <t>10.ÁÄ   ÕÕÊ</t>
  </si>
  <si>
    <t>11.Íàëèíà</t>
  </si>
  <si>
    <t xml:space="preserve">12.Îíõîîäîé </t>
  </si>
  <si>
    <t>13.Õýðýìõýí</t>
  </si>
  <si>
    <t>14. ªâºð Ýðýýí</t>
  </si>
  <si>
    <t xml:space="preserve">Îíõîîäîé </t>
  </si>
  <si>
    <t xml:space="preserve"> ÕÀÐÈËÖÀÀ ÕÎËÁÎÎ, ÒÝÝÂÐÈÉÍ ÑÀËÁÀÐÛÍ</t>
  </si>
  <si>
    <t>ÎÓ-ûí Äîðíîä Íèñýõ áóóäàë</t>
  </si>
  <si>
    <t>8.Ò¿øíýý ÕÕÊ</t>
  </si>
  <si>
    <t>Ò¿øíýý ÕÕÊ</t>
  </si>
  <si>
    <t>Ñóì /áàã/</t>
  </si>
  <si>
    <t>Ìýäýýëýë õîëáîîíû ñ¿ëæýý ÕÕÊ</t>
  </si>
  <si>
    <t>Îðëîãî</t>
  </si>
  <si>
    <t>áàã</t>
  </si>
  <si>
    <t>Öàõ. Ýõ 
¿¿ñã¿¿ðòýé ºðõ</t>
  </si>
  <si>
    <t>Áàãà îâðûí
öàõ.¿¿ñã¿¿ðòýé</t>
  </si>
  <si>
    <t>Ìàë÷äûí
òîî</t>
  </si>
  <si>
    <t>16-34 íàñíû</t>
  </si>
  <si>
    <t>35-59, 35-54
íàñíû</t>
  </si>
  <si>
    <t>60,55-ààñ äýýø
íàñíû</t>
  </si>
  <si>
    <t>ÌÀËÒÀÉ  ªÐÕÈÉÍ ÒÎÎÍÛ ªªÐ×ËªËÒ</t>
  </si>
  <si>
    <t>Ìàëòàé  ºðõèéí òîî, îíîîð, ñóìäààð</t>
  </si>
  <si>
    <t>Ìàëòàé  ºðõèéí ºñºëò áóóðàëò õóâèàð</t>
  </si>
  <si>
    <t>Öàãààí-îâîî</t>
  </si>
  <si>
    <t>ÒªÌÑ</t>
  </si>
  <si>
    <t>Õ¯ÍÑÍÈÉ ÍÎÃÎÎ</t>
  </si>
  <si>
    <t>Îðîí íóòãèéí õóâààðèëàãäààã¿é çàðäàë</t>
  </si>
  <si>
    <t>Óëç óñ ÕÕÊ</t>
  </si>
  <si>
    <t>öýâýð óñ</t>
  </si>
  <si>
    <t>17. Óëç óñ ÕÕÊ</t>
  </si>
  <si>
    <t>6.Ìàõ ìàðêåò  ÕÊ</t>
  </si>
  <si>
    <t>Ìàõ ìàðêåò ÕÊ</t>
  </si>
  <si>
    <t>äàéâàð</t>
  </si>
  <si>
    <t>Ýíòåðâèðóñ</t>
  </si>
  <si>
    <t>Òàðüñàí</t>
  </si>
  <si>
    <t>7.Äîðíûí òàë ÕÕÊ</t>
  </si>
  <si>
    <t>ÀÉÑÂÍ ÕÕÊ</t>
  </si>
  <si>
    <t>Òàëõ</t>
  </si>
  <si>
    <t>Öýâýð ºñºëò</t>
  </si>
  <si>
    <t>Áàÿí-óóë</t>
  </si>
  <si>
    <t>õýìæèõ íýãæ-ãà</t>
  </si>
  <si>
    <t>Ñàëáàð</t>
  </si>
  <si>
    <t>Õàäëàí</t>
  </si>
  <si>
    <t>ä¿í</t>
  </si>
  <si>
    <t>¯¿íýýñ: èðãýä</t>
  </si>
  <si>
    <t xml:space="preserve">                Òºëáºðò ¿éë÷èëãýý</t>
  </si>
  <si>
    <t>Ýìíýëýã, ýìèéí ñàíãèéí íýð</t>
  </si>
  <si>
    <t>¯éë÷ë¿¿ëñýí õ¿í</t>
  </si>
  <si>
    <t>Îðëîãî (ìÿí.òºã)</t>
  </si>
  <si>
    <t>Àíàðôàðì</t>
  </si>
  <si>
    <t>Áàòðààø</t>
  </si>
  <si>
    <t>Ýìèéí ñàíãóóäûí ä¿í</t>
  </si>
  <si>
    <t>Ìîðå÷ëåðè</t>
  </si>
  <si>
    <t>Íüþ-Ýíäîðôåí</t>
  </si>
  <si>
    <t>Õîááý</t>
  </si>
  <si>
    <t>Ýìíýëã¿¿äèéí ä¿í</t>
  </si>
  <si>
    <t xml:space="preserve">       Îðëîãî òîäîðõîéëîõ áîëîìæã¿é èðãýíèé 
îðëîãî</t>
  </si>
  <si>
    <t>Ò¿ðýýñèéí îðëîãî</t>
  </si>
  <si>
    <t>Ñóìààñ àâñàí òýãøèòãýë</t>
  </si>
  <si>
    <t>Òºñâèéí áàéãóóëëàãóóäàä îëãîñîí ñàíõ¿¿æèëò</t>
  </si>
  <si>
    <t>Îðîí íóòãèéí çàðëàãà</t>
  </si>
  <si>
    <t>Àéìàãò îëãîñîí òýãøèòãýë</t>
  </si>
  <si>
    <t>Îðîí íóòãèéí õàðèëöàõ äàíñíû ýöñèéí ¿ëäýãäýë</t>
  </si>
  <si>
    <t>Îðîí íóòãèéí õàðèëöàõ äàíñíû ýõíèé ¿ëäýãäýë</t>
  </si>
  <si>
    <t xml:space="preserve">Íèéò ä¿í    </t>
  </si>
  <si>
    <t>Íèéò îðëîãî òóñëàìæèéí ä¿í</t>
  </si>
  <si>
    <t xml:space="preserve">Óðñãàë îðëîãî                         </t>
  </si>
  <si>
    <t xml:space="preserve">1.Òàòâàðûí îðëîãî                    </t>
  </si>
  <si>
    <t xml:space="preserve">1.1.Îðëîãûí àëáàí òàòâàð               </t>
  </si>
  <si>
    <t>1.1.1.Õ¿í àìûí îðëîãûí òàòâàð</t>
  </si>
  <si>
    <t>1.3.ªì÷èéí òàòâàð</t>
  </si>
  <si>
    <t>1.4.Äîòîîäûí áàðààíû ¿éë÷èëãýýíèé òàòâàð</t>
  </si>
  <si>
    <t>1.4.3.Òóñãàé çîðèóëàëòûí îðëîãî</t>
  </si>
  <si>
    <t xml:space="preserve">         Òýýâðèéí õýðýãñëèéí </t>
  </si>
  <si>
    <t>1.6. Áóñàä òàòâàð</t>
  </si>
  <si>
    <t xml:space="preserve">     1.6.1  Óëñûí òýìäýãòèéí õóðààìæ</t>
  </si>
  <si>
    <t>1.6.2. Àøèãò ìàëòìàëûí íººö àøèãëàñíû òºëáºð</t>
  </si>
  <si>
    <t>1.6.3.  Ãàçðûí òºëáºð</t>
  </si>
  <si>
    <t>1.6.4.Óñíû òºëáºð</t>
  </si>
  <si>
    <t xml:space="preserve">1.6.5. Ãîîæèíãèéí </t>
  </si>
  <si>
    <t>1.6.6. Àãíóóðûí íººö àøèãëàñíû</t>
  </si>
  <si>
    <t>1.6.7.Ëèöåíçèéí òºëáºð</t>
  </si>
  <si>
    <t>1.6.8.  Áóñàä òàòâàð õóðààìæ</t>
  </si>
  <si>
    <t>Ãàäààä àëáàí òîìèëîëò</t>
  </si>
  <si>
    <t>Íîì õýâëýë àâàõ</t>
  </si>
  <si>
    <t>Òºëáºð õóðààìæ áîëîí áóñàä çàðäàë</t>
  </si>
  <si>
    <t>Áèåèéí òàìèð óðàëäààí òýìöýýí</t>
  </si>
  <si>
    <t xml:space="preserve">Õîëáîîíû ñóâàã àøèãëàñíû õºëñ </t>
  </si>
  <si>
    <t>Òºâëºðñºí àðãà õýìæýý</t>
  </si>
  <si>
    <t>Îðîí íóòãèéí íººö õºðºíãº</t>
  </si>
  <si>
    <t>Ìàë ýìíýëãèéí ¿éë÷èëãýýíèé çàðäàë</t>
  </si>
  <si>
    <t>Ìýäýýëýë ñóðòàë÷èëãààíû çàðäàë</t>
  </si>
  <si>
    <t>Õºðºíãèéí çàðäàë</t>
  </si>
  <si>
    <t>Íýìýãäýë öàëèí</t>
  </si>
  <si>
    <t>¯äèéí öàé õºòºëáºð</t>
  </si>
  <si>
    <t>Óðëàãèéí óðàí á¿òýýëèéí çàðäàë</t>
  </si>
  <si>
    <t>Õºíãºí ¿éëäâýðëýë</t>
  </si>
  <si>
    <t>Óëààí áóóäàé</t>
  </si>
  <si>
    <t>Òºìñ</t>
  </si>
  <si>
    <t>ªâºð Ýðýýí</t>
  </si>
  <si>
    <t>ç¿ñ.ìàò</t>
  </si>
  <si>
    <t>ÁÄ   ÕÕÊ</t>
  </si>
  <si>
    <t>ìàëûí ìàõ</t>
  </si>
  <si>
    <t>ÃÎË ÍÝÐ ÒªÐËÈÉÍ Á¯ÒÝÝÃÄÝÕ¯¯Í ¯ÉËÄÂÝÐËÝËÒ</t>
  </si>
  <si>
    <t>Ñ¿¿í á¿ò-í</t>
  </si>
  <si>
    <t>ªðõ ãýðò îëãîõ øèëæ¿¿ëýã</t>
  </si>
  <si>
    <t>Òºñâèéí õºðºíãººð ñàíõ¿¿æèõ õºðºíãº îðóóëàëò</t>
  </si>
  <si>
    <t>3.Áàéãóóëëàãûí òîî</t>
  </si>
  <si>
    <t>Àæèëëàãñàä á¿ãä</t>
  </si>
  <si>
    <t>Óäèðäàõ àæèëòàí</t>
  </si>
  <si>
    <t>Ã¿éöýòãýõ àæèëòàí</t>
  </si>
  <si>
    <t xml:space="preserve">¯éë÷ëýõ àæèëòàí </t>
  </si>
  <si>
    <t xml:space="preserve">      Áóñàä</t>
  </si>
  <si>
    <t>2.1.Õóâüöààíû íîãäîë àøèã</t>
  </si>
  <si>
    <t>2.2.Õ¿¿, òîðãóóëèéí îðëîãî</t>
  </si>
  <si>
    <t>2.5.Òºñºâò ãàçðûí ººðèéí îðëîãî</t>
  </si>
  <si>
    <t xml:space="preserve"> 2.7.Íýð çààãäààã¿é áóñàä îðëîãî</t>
  </si>
  <si>
    <t>Õºðºíãº õóäàëäñàíû îðëîãî</t>
  </si>
  <si>
    <t>Òóñëàìæèéí îðëîãî</t>
  </si>
  <si>
    <t>Íèéò àâëàãà</t>
  </si>
  <si>
    <t>Íèéò ºãëºã</t>
  </si>
  <si>
    <t>¯¿íýýñ: Öàëèí</t>
  </si>
  <si>
    <t>ÝÌÄ õóðààìæ</t>
  </si>
  <si>
    <t>Òýýâýð</t>
  </si>
  <si>
    <t>Öýâýð, áîõèð óñ</t>
  </si>
  <si>
    <t>Àëáàí òîìèëîëò</t>
  </si>
  <si>
    <t>õ¿í</t>
  </si>
  <si>
    <t>Ã¿éöýòãýë</t>
  </si>
  <si>
    <t>Ñóìûí íýðñ</t>
  </si>
  <si>
    <t>Òåëåôîí öýã</t>
  </si>
  <si>
    <t>Ðàäèî öýã</t>
  </si>
  <si>
    <t>Áä</t>
  </si>
  <si>
    <t>Áò</t>
  </si>
  <si>
    <t>Áó</t>
  </si>
  <si>
    <t>Ãç</t>
  </si>
  <si>
    <t>Ìò</t>
  </si>
  <si>
    <t>Õã</t>
  </si>
  <si>
    <t>Õá</t>
  </si>
  <si>
    <t>Ñý</t>
  </si>
  <si>
    <t>ÖÎ</t>
  </si>
  <si>
    <t>Áë</t>
  </si>
  <si>
    <t>×á</t>
  </si>
  <si>
    <t>×õ</t>
  </si>
  <si>
    <t>Õý</t>
  </si>
  <si>
    <t>Çºð¿¿</t>
  </si>
  <si>
    <t>Òàòâàðûí áóñ îðëîãî</t>
  </si>
  <si>
    <t>Õºðºíãèéí îðëîãî</t>
  </si>
  <si>
    <t>Òºëºâëºãºº</t>
  </si>
  <si>
    <t>¿ðãýëæëýë</t>
  </si>
  <si>
    <t xml:space="preserve">      Õóâèàðàà àæ àõóé ýðõëýã÷äèéí îðëîãûí</t>
  </si>
  <si>
    <t xml:space="preserve">      Ìàë á¿õèé èðãýíèé îðëîãûí</t>
  </si>
  <si>
    <t/>
  </si>
  <si>
    <t>Devg;</t>
  </si>
  <si>
    <t>mgldga</t>
  </si>
  <si>
    <t>Dgawgg</t>
  </si>
  <si>
    <t>vkyunyk</t>
  </si>
  <si>
    <t>fjufvm</t>
  </si>
  <si>
    <t>htbh</t>
  </si>
  <si>
    <t>lkkl,</t>
  </si>
  <si>
    <t>ELGGY DEE:GA</t>
  </si>
  <si>
    <t xml:space="preserve">           MFBV</t>
  </si>
  <si>
    <t>HOYVYNA YKUKK</t>
  </si>
  <si>
    <t xml:space="preserve"> </t>
  </si>
  <si>
    <t>Mgjnh</t>
  </si>
  <si>
    <t xml:space="preserve">       Mgj,vgy</t>
  </si>
  <si>
    <t>Hgj,weelvgy he.,</t>
  </si>
  <si>
    <t>Tyt ky;</t>
  </si>
  <si>
    <t>F$ky;</t>
  </si>
  <si>
    <t>Mgjng@</t>
  </si>
  <si>
    <t>fbyfh</t>
  </si>
  <si>
    <t>lglmsy</t>
  </si>
  <si>
    <t>kymka</t>
  </si>
  <si>
    <t>1^Dgzy;ey</t>
  </si>
  <si>
    <t>2^Dgzymobty</t>
  </si>
  <si>
    <t>3^Delugy</t>
  </si>
  <si>
    <t>4^Uej.gypgugl</t>
  </si>
  <si>
    <t>5^:gidgldgj</t>
  </si>
  <si>
    <t>6^Bgmg;</t>
  </si>
  <si>
    <t>7^Hglhukl</t>
  </si>
  <si>
    <t>8^Hflfydeaj</t>
  </si>
  <si>
    <t>9^Vtjutlty</t>
  </si>
  <si>
    <t>10^Wguggy@K.kk</t>
  </si>
  <si>
    <t>11^Dgzy@Eel</t>
  </si>
  <si>
    <t>12^Xkadglvgy</t>
  </si>
  <si>
    <t>13^Xeleeyhkjkkm</t>
  </si>
  <si>
    <t>14^Htjlty</t>
  </si>
  <si>
    <t>15^Gabunay ;oy</t>
  </si>
  <si>
    <t>Bgyrny</t>
  </si>
  <si>
    <t>Lee.gy</t>
  </si>
  <si>
    <t>elggy</t>
  </si>
  <si>
    <t>Hoyvyna ykukk mfjlffj</t>
  </si>
  <si>
    <t>Mkvys ejugbgl</t>
  </si>
  <si>
    <t xml:space="preserve">       Devg; ejugbgl</t>
  </si>
  <si>
    <t>( +  -)</t>
  </si>
  <si>
    <t>Jg'v</t>
  </si>
  <si>
    <t xml:space="preserve">Igj </t>
  </si>
  <si>
    <t>deejwgu</t>
  </si>
  <si>
    <t xml:space="preserve"> Rnbv</t>
  </si>
  <si>
    <t>2001 kys hg.jsy mgjnglglmsy bt;tt</t>
  </si>
  <si>
    <t>2001^6^3</t>
  </si>
  <si>
    <t>Ñàëõèí öýöýã</t>
  </si>
  <si>
    <t>¨ëîì</t>
  </si>
  <si>
    <t>Áðóöåëë¸ç</t>
  </si>
  <si>
    <t>Öóñàí ñóóëãà</t>
  </si>
  <si>
    <t>Ìåíèíêîê</t>
  </si>
  <si>
    <t>Áàëíàä</t>
  </si>
  <si>
    <t>Ãàõàé õàâäàð</t>
  </si>
  <si>
    <t>Ñ¿ðüåý</t>
  </si>
  <si>
    <t>Òýìá¿¿</t>
  </si>
  <si>
    <t>Çàã õ¿éòýí</t>
  </si>
  <si>
    <t>Ìººãºíöºð</t>
  </si>
  <si>
    <t>Òðèõîìîíèàç</t>
  </si>
  <si>
    <t>Áîîì</t>
  </si>
  <si>
    <t>Íèéò õàëäâàðò ºâ÷èí</t>
  </si>
  <si>
    <t>¯¿íýýñ: 0-1 íàñíû</t>
  </si>
  <si>
    <t xml:space="preserve">    1-5 íàñíû</t>
  </si>
  <si>
    <t>Ýìíýëýãò íàñ áàðñàí</t>
  </si>
  <si>
    <t>Õîíîã áîëîîã¿é</t>
  </si>
  <si>
    <t>Ýõèéí ýíäýãäýë</t>
  </si>
  <si>
    <t>ªºð÷ëºëò</t>
  </si>
  <si>
    <t>¯ç¿¿ëýëò</t>
  </si>
  <si>
    <t>Ä¯Í</t>
  </si>
  <si>
    <t>ÍÄØ</t>
  </si>
  <si>
    <t>Õîîë</t>
  </si>
  <si>
    <t>Ýì</t>
  </si>
  <si>
    <t>Áóñàä</t>
  </si>
  <si>
    <t>òîî</t>
  </si>
  <si>
    <t>¯¿íýýñ</t>
  </si>
  <si>
    <t>Á¿ãä</t>
  </si>
  <si>
    <t>À</t>
  </si>
  <si>
    <t>ä.ä</t>
  </si>
  <si>
    <t>Õóâü</t>
  </si>
  <si>
    <t>Áàÿíäóí</t>
  </si>
  <si>
    <t>Áàÿíò¿ìýí</t>
  </si>
  <si>
    <t>Áóëãàí</t>
  </si>
  <si>
    <t>Ãóðâàíçàãàë</t>
  </si>
  <si>
    <t>Äàøáàëáàð</t>
  </si>
  <si>
    <t>Ìàòàä</t>
  </si>
  <si>
    <t>Õàëõãîë</t>
  </si>
  <si>
    <t>Õºëºíáóéð</t>
  </si>
  <si>
    <t>Ñýðãýëýí</t>
  </si>
  <si>
    <t>Öàãààí-Îâîî</t>
  </si>
  <si>
    <t>Áàÿí-Óóë</t>
  </si>
  <si>
    <t>×îéáàëñàí</t>
  </si>
  <si>
    <t>×óëóóíõîðîîò</t>
  </si>
  <si>
    <t>Õýðëýí</t>
  </si>
  <si>
    <t>Á¯ÃÄ</t>
  </si>
  <si>
    <t>Ñóìûí íýð</t>
  </si>
  <si>
    <t>Àéìãèéí ä¿í</t>
  </si>
  <si>
    <t>Ã¯ÉÖÝÒÃÝË</t>
  </si>
  <si>
    <t>Õýìæèõ</t>
  </si>
  <si>
    <t>íýãæ</t>
  </si>
  <si>
    <t>Õîëáîîíû ãàçàð:</t>
  </si>
  <si>
    <t>Òàðèôûí îðëîãî</t>
  </si>
  <si>
    <t>Ñàÿ.òºã</t>
  </si>
  <si>
    <t>¯¿íýýñ: Õ¿í àìààñ</t>
  </si>
  <si>
    <t>ñàÿ.òºã</t>
  </si>
  <si>
    <t>Øóóäàí òàñàã: Îðëîãî á¿ãä</t>
  </si>
  <si>
    <t>ìÿí.òºã</t>
  </si>
  <si>
    <t>¯¿íýýñ: Øóóäàí òýýâýð</t>
  </si>
  <si>
    <t>Õýâëýë</t>
  </si>
  <si>
    <t>Áóñàä îðëîãî</t>
  </si>
  <si>
    <t>Çîð÷èã÷ òýýâýð</t>
  </si>
  <si>
    <t>ìÿí.õ¿í</t>
  </si>
  <si>
    <t>Çîð÷èã÷ ýðãýëò</t>
  </si>
  <si>
    <t>ìÿí.õ¿í.êì</t>
  </si>
  <si>
    <t>Äîçà</t>
  </si>
  <si>
    <t>Øèíã¿¿íý</t>
  </si>
  <si>
    <t>Áýñ¿</t>
  </si>
  <si>
    <t>Íèéò ä¿í</t>
  </si>
  <si>
    <t>Àéìàã</t>
  </si>
  <si>
    <t>Ã¿éö</t>
  </si>
  <si>
    <t>òîîãîîð</t>
  </si>
  <si>
    <t>¯¿íýýñ: áàíêèí äàõü õàðèëöàõ äàíñíû</t>
  </si>
  <si>
    <t>1.ÎÐËÎÃÛÍ Ä¯Í</t>
  </si>
  <si>
    <t>Òºñâººñ óðñãàë ñàíõ¿¿æèëò</t>
  </si>
  <si>
    <t>Ýð¿¿ë ìýíäèéí äààòãàëààñ ñàíõ¿¿æèõ</t>
  </si>
  <si>
    <t>Òóñëàõ ¿éë àæèëëàãààíû îðëîãîîñ</t>
  </si>
  <si>
    <t>2.ÍÈÉÒ ÇÀÐËÀÃÛÍ Ä¯Í</t>
  </si>
  <si>
    <t>À.ÓÐÑÃÀË  ÇÀÐÄËÛÍ Ä¯Í</t>
  </si>
  <si>
    <t>1.Áàðàà ¿éë÷èëãýýíèé çàðäàë</t>
  </si>
  <si>
    <t>1.1.Öàëèí õºëñ íýìýãäýë óðàìøèë</t>
  </si>
  <si>
    <t>¯íäñýí öàëèí</t>
  </si>
  <si>
    <t>1.2.Àæèë îëãîã÷îîñ ÍÄ-ä òºëºõ øèìòãýë</t>
  </si>
  <si>
    <t>Òýòãýâýð, òýòãýìæèéí äààòãàëûí øèìòãýë</t>
  </si>
  <si>
    <t xml:space="preserve">Áàéãóóëëàãà òºëºõ ÝÌÄ-ûí õóðààìæ </t>
  </si>
  <si>
    <t>1.3 Áàðàà ¿éë÷èëãýýíèé áóñàä çàðäàë</t>
  </si>
  <si>
    <t>Áè÷èã õýðýã</t>
  </si>
  <si>
    <t>Ãýðýë, öàõèëãààí</t>
  </si>
  <si>
    <t>Ò¿ëø õàëààëò</t>
  </si>
  <si>
    <t>Òýýâýð øàòàõóóí</t>
  </si>
  <si>
    <t>Øóóäàí õîëáîî</t>
  </si>
  <si>
    <t>Öýâýð áîõèð óñ</t>
  </si>
  <si>
    <t>Äîòîîä àëáàí òîìèëîëò</t>
  </si>
  <si>
    <t>Õè÷ýýë, ¿éëäâýðëýëèéí äàäëàãà õèéõ</t>
  </si>
  <si>
    <t>Óðñãàë çàñâàð</t>
  </si>
  <si>
    <t>Áàéðíû ò¿ðýýñèéí õºëñ</t>
  </si>
  <si>
    <t>Áóñàä çàðäàë</t>
  </si>
  <si>
    <t xml:space="preserve">          Õóðààñàí òàëáàé</t>
  </si>
  <si>
    <t>ÄÁ</t>
  </si>
  <si>
    <t xml:space="preserve">                 ÒªÌÑ</t>
  </si>
  <si>
    <t xml:space="preserve">        Õ¯ÍÑÍÈÉ ÍÎÃÎÎ</t>
  </si>
  <si>
    <t>Î÷èðôàðì</t>
  </si>
  <si>
    <t>Ìÿíãàí ñàðíàé</t>
  </si>
  <si>
    <t>Ñ¿¿í ø¿ä</t>
  </si>
  <si>
    <t>á¿ãä</t>
  </si>
  <si>
    <t>ã¿éö</t>
  </si>
  <si>
    <t>Íèéò ¿çëýã</t>
  </si>
  <si>
    <t>ÎÐËÎÃÎ</t>
  </si>
  <si>
    <t>1.Îðîí íóòãèéí òºñâèéí áàéãóóëëàãûí
çàðëàãà</t>
  </si>
  <si>
    <t>2.Óëñûí òºñâèéí áàéãóóëëàãûí
çàðëàãà</t>
  </si>
  <si>
    <t>ÇÀÐËÀÃÀ</t>
  </si>
  <si>
    <t>Òºñâèéí òýíöýë
 (õóâèàð)</t>
  </si>
  <si>
    <t>Òºëºâ</t>
  </si>
  <si>
    <t>Õóâèàð</t>
  </si>
  <si>
    <t>òºëºâ</t>
  </si>
  <si>
    <t>Ñóìûí ä¿í</t>
  </si>
  <si>
    <t>Á¿ãä ä¿í</t>
  </si>
  <si>
    <t>º.îíä</t>
  </si>
  <si>
    <t>òí</t>
  </si>
  <si>
    <t>Àðõè</t>
  </si>
  <si>
    <t>(ìÿí.òºã)</t>
  </si>
  <si>
    <t>Íýð</t>
  </si>
  <si>
    <t>òºðºë</t>
  </si>
  <si>
    <t>Àäóóí÷óëóóí ÕÊ</t>
  </si>
  <si>
    <t>í¿¿ðñ</t>
  </si>
  <si>
    <t>ìÿí.òí</t>
  </si>
  <si>
    <t>Õºðñ</t>
  </si>
  <si>
    <t>ìÿí.ì.êóá</t>
  </si>
  <si>
    <t>Äîðíîä Ãóðèë ÕÊ</t>
  </si>
  <si>
    <t>Ãóðèë</t>
  </si>
  <si>
    <t>õèâýã</t>
  </si>
  <si>
    <t>ÄÁÝÕÑ ÕÊ</t>
  </si>
  <si>
    <t>öàõèëãààí</t>
  </si>
  <si>
    <t>äóëààí</t>
  </si>
  <si>
    <t>ìÿí.êâò.öàã</t>
  </si>
  <si>
    <t>ìÿí.Ã.êàë</t>
  </si>
  <si>
    <t>ìÿí.ë</t>
  </si>
  <si>
    <t>ÀÆ ¯ÉËÄÂÝÐÈÉÍ ÍÈÉÒ Á¯ÒÝÝÃÄÝÕ¯¯Í ¯ÉËÄÂÝÐËÝËÒ ÁÎÐËÓÓËÀËÒ</t>
  </si>
  <si>
    <t>Áîðëóóëàëò</t>
  </si>
  <si>
    <t>ªñºëò</t>
  </si>
  <si>
    <t>áóóðàëò</t>
  </si>
  <si>
    <t>1.Àäóóí÷óëóóí ÕÊ</t>
  </si>
  <si>
    <t>2.Äîðíîä Ãóðèë ÕÊ</t>
  </si>
  <si>
    <t>3.ÄÁÝÕÑ ÕÊ</t>
  </si>
  <si>
    <t>Íèéò á¿òýýãäýõ¿¿í</t>
  </si>
  <si>
    <t>Äîðíûí òàë ÕÕÊ</t>
  </si>
  <si>
    <t>òàëõ</t>
  </si>
  <si>
    <t>Ñóâä ôàðì</t>
  </si>
  <si>
    <t>àðõè</t>
  </si>
  <si>
    <t>Àí÷èð ÕÕÊ</t>
  </si>
  <si>
    <t>äàðñ</t>
  </si>
  <si>
    <t>Í¿¿ðñ îëâîðëîëò</t>
  </si>
  <si>
    <t xml:space="preserve">Õ¿íñíèé á¿òýýãäýõ¿¿í </t>
  </si>
  <si>
    <t>Öàõèëãààí ýð÷èì õ¿÷</t>
  </si>
  <si>
    <t>íàðèéí áîîâ</t>
  </si>
  <si>
    <t>Äýýæ ÕÕÊ</t>
  </si>
  <si>
    <t>4.Àí÷èð ÕÕÊ</t>
  </si>
  <si>
    <t>5.Íàéíãè ÕÊ</t>
  </si>
  <si>
    <t>Öýöýðëýãèéí òîî</t>
  </si>
  <si>
    <t>¯ç¿¿ëýëò¿¿ä</t>
  </si>
  <si>
    <t>ìÿí.äîëë</t>
  </si>
  <si>
    <t>Òîî</t>
  </si>
  <si>
    <t>1000 õ¿íä
íîãäîõ</t>
  </si>
  <si>
    <t>Íàñ áàðàëò</t>
  </si>
  <si>
    <t>0-1 íàñíû õ¿¿õäèéí ýíäýãäýë</t>
  </si>
  <si>
    <t>øóóä</t>
  </si>
  <si>
    <t>Õýìæèõ íýãæ</t>
  </si>
  <si>
    <t>Àáñîëþò
(+,-)</t>
  </si>
  <si>
    <t>ÀÉÌÃÈÉÍ ÝÄÈÉÍ ÇÀÑÀÃ, ÍÈÉÃÌÈÉÍ ÁÀÉÄÀË</t>
  </si>
  <si>
    <t>Òºðºëò</t>
  </si>
  <si>
    <t>Õ¿í àì</t>
  </si>
  <si>
    <t>Íèéò ºðõ</t>
  </si>
  <si>
    <t>ìÿí.ºðõ</t>
  </si>
  <si>
    <t>Îðîí íóòãèéí òºñâèéí îðëîãî</t>
  </si>
  <si>
    <t>Òºñâèéí  çàðëàãà ( îðîí íóòãèéí)</t>
  </si>
  <si>
    <t>Õàëäâàðò ºâ÷íèé ãàðàëò</t>
  </si>
  <si>
    <t>ÅÁÑ-ä ñóðàëöàã÷èä</t>
  </si>
  <si>
    <t>Á¿ëãèéí òîî</t>
  </si>
  <si>
    <t>Öýöýðëýãò õàìðàãäñàí õ¿¿õýä</t>
  </si>
  <si>
    <t>ÅÁÑ-èéí áàãøèéí òîî</t>
  </si>
  <si>
    <t>Àæ ¿éëäâýðèéí á¿òýýãäýõ¿¿í</t>
  </si>
  <si>
    <t>Àæ ¿éëäâýðèéí áîðëóóëàëò</t>
  </si>
  <si>
    <t>Ìàëòàé ºðõ</t>
  </si>
  <si>
    <t>¯¿íýýñ: ìàë÷èí ºðõ</t>
  </si>
  <si>
    <t>500-ààñ äýýø ìàëòàé ºðõ</t>
  </si>
  <si>
    <t>¯¿íýýñ: 1000-ààñ äýýø ìàëòàé ºðõ</t>
  </si>
  <si>
    <t>Òîîëîãäñîí ìàë á¿ãä</t>
  </si>
  <si>
    <t>¯¿íýýñ: Òýìýý</t>
  </si>
  <si>
    <t xml:space="preserve">                 Àäóó</t>
  </si>
  <si>
    <t xml:space="preserve">                 ¯õýð</t>
  </si>
  <si>
    <t xml:space="preserve">                 Õîíü</t>
  </si>
  <si>
    <t xml:space="preserve">                 ßìàà</t>
  </si>
  <si>
    <t>Àìèíû ìàë á¿ãä</t>
  </si>
  <si>
    <t>Á¿õ ìàëä àìèíû ìàëûí ýçëýõ 
õóâèéí æèí</t>
  </si>
  <si>
    <t>õóâü</t>
  </si>
  <si>
    <t>òîëãîé</t>
  </si>
  <si>
    <t>á¿ë</t>
  </si>
  <si>
    <t>ãà</t>
  </si>
  <si>
    <t>Àëáàí ãàçðûí ìàë á¿ãä</t>
  </si>
  <si>
    <t>Á¿õ ìàëä  ýçëýõ àëáàí ãàçðûí ìàëûí ýçëýõ õóâèéí æèí</t>
  </si>
  <si>
    <t>Òîîëîãäñîí õýýëòýã÷ ìàë á¿ãä</t>
  </si>
  <si>
    <t>¯¿íýýñ:    Èíãý</t>
  </si>
  <si>
    <t xml:space="preserve">                Ã¿¿</t>
  </si>
  <si>
    <t xml:space="preserve">                ¯íýý</t>
  </si>
  <si>
    <t xml:space="preserve">                Ýì õîíü</t>
  </si>
  <si>
    <t xml:space="preserve">                Ýì ÿìàà</t>
  </si>
  <si>
    <t>Á¿õ ìàëä õýýëòýã÷èéí ýçëýõ 
õóâèéí æèí</t>
  </si>
  <si>
    <t>Òºëëºñºí õýýëòýã÷ á¿ãä</t>
  </si>
  <si>
    <t>Áîéæèæ áàéãàà òºë á¿ãä</t>
  </si>
  <si>
    <t>¯¿íýýñ:      Áîòãî</t>
  </si>
  <si>
    <t xml:space="preserve">                  Óíàãà</t>
  </si>
  <si>
    <t xml:space="preserve">                  Òóãàë</t>
  </si>
  <si>
    <t xml:space="preserve">                  Õóðãà</t>
  </si>
  <si>
    <t xml:space="preserve">                   Èøèã</t>
  </si>
  <si>
    <t>100 ýõýýñ áîéæóóëñàí òºë á¿ãä</t>
  </si>
  <si>
    <t>Õîðîãäñîí òºë á¿ãä</t>
  </si>
  <si>
    <t>Òîì ìàëûí ç¿é áóñûí õîðîãäîë</t>
  </si>
  <si>
    <t>Õîðîãäëûí îíû ýõíèé ìàëä ýçëýõ
õóâèéí æèí</t>
  </si>
  <si>
    <t>Òýæýýâýð àìüòàä: Ãàõàé</t>
  </si>
  <si>
    <t xml:space="preserve">                             Øóâóó</t>
  </si>
  <si>
    <t xml:space="preserve">                             Çºãèé</t>
  </si>
  <si>
    <t>Òàðèàëàëò:Óëààí áóóäàé</t>
  </si>
  <si>
    <t xml:space="preserve">                     Òºìñ</t>
  </si>
  <si>
    <t xml:space="preserve">                     Õ¿íñíèé íîãîî</t>
  </si>
  <si>
    <t>Óðãàö õóðààëò:Óëààí áóóäàé</t>
  </si>
  <si>
    <t xml:space="preserve">                       Òºìñ</t>
  </si>
  <si>
    <t xml:space="preserve">                        Õ¿íñíèé íîãîî</t>
  </si>
  <si>
    <t>Õàäëàí áýëòãýë</t>
  </si>
  <si>
    <t>Ãàð òýæýýë</t>
  </si>
  <si>
    <t xml:space="preserve">Çîð÷èã÷ òýýâýð </t>
  </si>
  <si>
    <t xml:space="preserve">Òýýâðèéí îðëîãî </t>
  </si>
  <si>
    <t>Õîëáîîíû îðëîãî</t>
  </si>
  <si>
    <t>Á¿ðòãýëòýé àæèëã¿é÷¿¿äèéí òîî</t>
  </si>
  <si>
    <t>ÍÀÀ-í îðëîãî</t>
  </si>
  <si>
    <t>Ãàðñàí ãýìò õýðýã</t>
  </si>
  <si>
    <t>ÅÁÑ-èéí òîî</t>
  </si>
  <si>
    <t>¯¿íýýñ:Õºäºëìºðèéí íàñíû</t>
  </si>
  <si>
    <t>Öýöýðëýãèéí áàãøèéí òîî</t>
  </si>
  <si>
    <t>Òºë áîéæèëòûí õóâü</t>
  </si>
  <si>
    <t>Áàéöàà</t>
  </si>
  <si>
    <t>Ìàíæèí</t>
  </si>
  <si>
    <t>Ëóóâàí</t>
  </si>
  <si>
    <t>ªðãºñò õýìõ</t>
  </si>
  <si>
    <t>Óëààí
ëîîëü</t>
  </si>
  <si>
    <t>Ñîíãèíî</t>
  </si>
  <si>
    <t>Õîîëíû õîðäëîãî</t>
  </si>
  <si>
    <t>Òàòðàí</t>
  </si>
  <si>
    <t>ÎÐÎÍ ÍÓÒÃÈÉÍ ÒªÑÂÈÉÍ ÎÐËÎÃÎ ÇÀÐËÀÃÀ</t>
  </si>
  <si>
    <t>Ñóì /Áàã/</t>
  </si>
  <si>
    <t>ÀÉÌÃÈÉÍ Ä¯Í</t>
  </si>
  <si>
    <t xml:space="preserve">         Òàðüñàí</t>
  </si>
  <si>
    <t>ÝÐ¯¯Ë ÌÝÍÄÈÉÍ ÇÀÐÈÌ ¯Ç¯¯ËÝËÒ¯¯Ä</t>
  </si>
  <si>
    <t xml:space="preserve">Ñóìûí íýð </t>
  </si>
  <si>
    <t>Á¿ðòãýãäñýí 
ºâ÷ëºë</t>
  </si>
  <si>
    <t>Áýðòýë õîðäëîãî</t>
  </si>
  <si>
    <t>Õîðò õàâäàð</t>
  </si>
  <si>
    <t>Öóñíû ýðãýëò</t>
  </si>
  <si>
    <t>Ýìíýëãýýñ ãàðñàí</t>
  </si>
  <si>
    <t>Àøèãëàñàí îð õîíîã</t>
  </si>
  <si>
    <t>Îðíû ôîíä àøèãëàëò</t>
  </si>
  <si>
    <t xml:space="preserve">Äóíäàæ îð õîíîã </t>
  </si>
  <si>
    <t>Îðíû ýðãýëò</t>
  </si>
  <si>
    <t>á/ò</t>
  </si>
  <si>
    <t>õàëõãîë</t>
  </si>
  <si>
    <t>Õîò</t>
  </si>
  <si>
    <t>Õ.Õýâøèë</t>
  </si>
  <si>
    <t>Дүн</t>
  </si>
  <si>
    <t>Óëñûí ýìíýëýã</t>
  </si>
  <si>
    <t>Òºëºâ-
ëºãºº</t>
  </si>
  <si>
    <t>Öàëèí õºëñ ò¿¿íòýé àäèëòãàõ îðëäîãî</t>
  </si>
  <si>
    <t>Àéìàã íèéñëýëýýñ àâñàí ñàíõ¿¿ãèéí äýìæëýã</t>
  </si>
  <si>
    <t>Ýðãýí òºëºãäºõ çýýë</t>
  </si>
  <si>
    <t>Òºâëºðñºí òºñºâò òºâëºð¿¿ëýõ øèëæ¿¿ëýã</t>
  </si>
  <si>
    <t>Ñóìàíä îëãîñîí òàòààñ</t>
  </si>
  <si>
    <t>Áóñàä áàéãóóëëàãà èðãýäýýñ ºãºõ ºãëºãèéí ýõíèé ¿ëäýãäýë</t>
  </si>
  <si>
    <t xml:space="preserve">Àâòî çàìûí ñàíãààñ ñàíõ¿¿æèõ </t>
  </si>
  <si>
    <t>Îíû ýõíèé ¿ëäýãäëýýñ ñàíõ¿¿æèõ</t>
  </si>
  <si>
    <t>áóñàä îðëîãî</t>
  </si>
  <si>
    <t>Ãýðýýò àæëûí öàëèí</t>
  </si>
  <si>
    <t>Òýòãýâðèéí äààòãàë</t>
  </si>
  <si>
    <t>Áàãàæ õýðýãñýë</t>
  </si>
  <si>
    <t>Òàâèëãà</t>
  </si>
  <si>
    <t>Áàãà ¿íýòýé òçðãýí ýëýãäýõ ç¿éëñ</t>
  </si>
  <si>
    <t>Íîðìûí õóâöàñ çººëºí ýäëýë</t>
  </si>
  <si>
    <t>Áàÿð íààäìûí çàðäàë</t>
  </si>
  <si>
    <t>Ãýìò õýðãýýñ ñýðãèéëýõ àðãà õýìæýýíèé çàðäàë</t>
  </si>
  <si>
    <t>Áàéãàë îð÷íûã õàìãààëàõ íºõºí ñýðãýýõ àðãà õýìæýý</t>
  </si>
  <si>
    <t>Ãóäàìæíû ãýðýëò¿¿ëýã öýâýðëýãýý</t>
  </si>
  <si>
    <t xml:space="preserve">ÈÒÕ-ä ñóóäàëòàé íàìä òºñâººñ ºãºõ äýìæëýã
</t>
  </si>
  <si>
    <t>Áóñäààð ã¿éöýòã¿¿ñýí àæèë ¿éë÷èëãýýíèé çàðäàë</t>
  </si>
  <si>
    <t>Àóäèò áàòàëãààæóóëàëòûí ¿éë÷èëãýýíèé õºëñ</t>
  </si>
  <si>
    <t>Òýýâðèéí õýðýãñëèéí îíîøëîãîî</t>
  </si>
  <si>
    <t>Íýã óäààãèéí òýòãýìæ óðàìøóóëàë</t>
  </si>
  <si>
    <t>Íýã óäààãèéí áóöàëòã¿é òóñëàìæ</t>
  </si>
  <si>
    <t>Òºëáºð õóðààìæ</t>
  </si>
  <si>
    <t>Ãýðýýò àæèë÷èä</t>
  </si>
  <si>
    <t>¯íäñýí ¿éë àæèëëàãààíû îðëîãîîñ ñàíõ¿¿æèõ</t>
  </si>
  <si>
    <t>Óíàà õîîëíû õºíãºëºëò</t>
  </si>
  <si>
    <t>Õºäºëìºð õàìãààëàëûí õýðýãñýë</t>
  </si>
  <si>
    <t>Ìàÿãò õýâëýõ çàðäàë</t>
  </si>
  <si>
    <t>Õºòºëáºð áîëîí òºñâèéí óðñãàë çàðäàë</t>
  </si>
  <si>
    <t>Ñóðãàëò õóðàë çºâëºãººíèé çàðäàë</t>
  </si>
  <si>
    <t>Ýðäýì øèíæèëãýý ñóäàëãààíû àæëûí õºëñ</t>
  </si>
  <si>
    <t>Áàíê ñàíõ¿¿ãèéí áàéãóóëëàãûí ¿éë÷èëãýýíèé
 õóðààìæ</t>
  </si>
  <si>
    <t>Òýýâðèéí õýðýãñëèéí äààòãàë</t>
  </si>
  <si>
    <t>Õàðóóë õàìãààëàëòûí õºëñ</t>
  </si>
  <si>
    <t>Õîã õàÿãäàë óñòãàõ öýâýðëýõ</t>
  </si>
  <si>
    <t>Ãàçðûí òºëáºð</t>
  </si>
  <si>
    <t>Ýýëæèéí àìðààëòààð ÿâàõ óíààíû çàðäàë</t>
  </si>
  <si>
    <t>Øàãíàë óðàìøèë</t>
  </si>
  <si>
    <t>Îþóòíû òýòãýëýã</t>
  </si>
  <si>
    <t>Òýýâðèéí õýðýãñëèéí òàòâàð</t>
  </si>
  <si>
    <t>Öýâýð óñ</t>
  </si>
  <si>
    <t>15.Òýãø òàë ÕÕÊ</t>
  </si>
  <si>
    <t>Ìºíãºí õºðºíãèéí 2011.1.1-íèé ¿ëäýãäýë</t>
  </si>
  <si>
    <t>Ìºíãºí õºðºíãèéí 2011.12 ñàðûí 31-íèé ¿ëäýãäýë</t>
  </si>
  <si>
    <t>Нийт нас баралт</t>
  </si>
  <si>
    <t>Баянбадам</t>
  </si>
  <si>
    <t>Дорнод эм хангамж</t>
  </si>
  <si>
    <t>Улзын долоон</t>
  </si>
  <si>
    <t xml:space="preserve">Итгэл ивээлт </t>
  </si>
  <si>
    <t>Цагаан-Уул</t>
  </si>
  <si>
    <t>Асралт үйлс</t>
  </si>
  <si>
    <t>Ягаан цээнэ</t>
  </si>
  <si>
    <t>Мянган жаргалан</t>
  </si>
  <si>
    <t xml:space="preserve">тоо </t>
  </si>
  <si>
    <t xml:space="preserve">Бүгд </t>
  </si>
  <si>
    <t xml:space="preserve">Хот </t>
  </si>
  <si>
    <t xml:space="preserve">Төрсөн эх </t>
  </si>
  <si>
    <t>ÃÀÐ×ÈÃ</t>
  </si>
  <si>
    <t>Ãàð÷èã</t>
  </si>
  <si>
    <t>I.1</t>
  </si>
  <si>
    <t>I.2</t>
  </si>
  <si>
    <t>II.1</t>
  </si>
  <si>
    <t>II.2</t>
  </si>
  <si>
    <t>Îðîí íóòãèéí òºñâèéí îðëîãî, çàðëàãûí ìýäýý</t>
  </si>
  <si>
    <t>II.3</t>
  </si>
  <si>
    <t>II.4</t>
  </si>
  <si>
    <t>Ãîë íýð òºðëèéí á¿òýýãäýõ¿¿í ¿éëäâýðëýëò</t>
  </si>
  <si>
    <t>2011 онд үйлдэгдсэн гэмт хэргийн судалгаа</t>
  </si>
  <si>
    <t>Баянтүмэн</t>
  </si>
  <si>
    <t>Булган</t>
  </si>
  <si>
    <t>Гурванзагал</t>
  </si>
  <si>
    <t>Дашбалбар</t>
  </si>
  <si>
    <t>Матад</t>
  </si>
  <si>
    <t>Сэргэлэн</t>
  </si>
  <si>
    <t>Халхгол</t>
  </si>
  <si>
    <t>Хөлөнбуйр</t>
  </si>
  <si>
    <t>Чойбалсан</t>
  </si>
  <si>
    <t>Чулуунхороот</t>
  </si>
  <si>
    <t>Хэрлэн</t>
  </si>
  <si>
    <t>Нийт дүн</t>
  </si>
  <si>
    <t>/Чойбалсан хотын баг, сумдаар/</t>
  </si>
  <si>
    <t>Чойбалсан хот</t>
  </si>
  <si>
    <t>Гэмт
хэрэг</t>
  </si>
  <si>
    <t>Илрээ
гүй</t>
  </si>
  <si>
    <t>Хүн
алах</t>
  </si>
  <si>
    <t>Хүчин
дэх</t>
  </si>
  <si>
    <t>Дээрэм
дэх</t>
  </si>
  <si>
    <t>Танхай
рах</t>
  </si>
  <si>
    <t>ББМГУ</t>
  </si>
  <si>
    <t>Булаах</t>
  </si>
  <si>
    <t>Хулгай
лах</t>
  </si>
  <si>
    <t>ХАБЭ</t>
  </si>
  <si>
    <t>Залилах</t>
  </si>
  <si>
    <t>Завших</t>
  </si>
  <si>
    <t>АТГХ</t>
  </si>
  <si>
    <t>Бусад</t>
  </si>
  <si>
    <t>ИӨХ</t>
  </si>
  <si>
    <t>Мал Х</t>
  </si>
  <si>
    <t>Хэрлэн сум 1 баг</t>
  </si>
  <si>
    <t>2  баг</t>
  </si>
  <si>
    <t>3 баг</t>
  </si>
  <si>
    <t>4 баг</t>
  </si>
  <si>
    <t>5 баг</t>
  </si>
  <si>
    <t>6 баг</t>
  </si>
  <si>
    <t>7 баг</t>
  </si>
  <si>
    <t>8 баг</t>
  </si>
  <si>
    <t>9 баг</t>
  </si>
  <si>
    <t>10 баг</t>
  </si>
  <si>
    <t>ХЭРЛЭН СУМ</t>
  </si>
  <si>
    <t>Баян-Уул</t>
  </si>
  <si>
    <t>Баяндун</t>
  </si>
  <si>
    <t>Цагаан-Овоо</t>
  </si>
  <si>
    <t>Халх гол</t>
  </si>
  <si>
    <t>ДОРНОД АЙМАГ</t>
  </si>
  <si>
    <t>Учирсан
хохирол
сая ₮</t>
  </si>
  <si>
    <t>Нөхөн
төлүүлсэн
сая ₮</t>
  </si>
  <si>
    <t>Нас 
барсан
хүн</t>
  </si>
  <si>
    <t>Гэмтсэн
хүн</t>
  </si>
  <si>
    <t>Гэр бүлийн
хүчирхийлэл
ГХ</t>
  </si>
  <si>
    <t>Согтуугаар
үйлдсэн</t>
  </si>
  <si>
    <t>Хүүхэд
үйлдсэн</t>
  </si>
  <si>
    <t>ГХ үйлдсэн
хүн</t>
  </si>
  <si>
    <t>Гудамжинд
үйлдсэн
ГХ</t>
  </si>
  <si>
    <t>Бэлчээрт
үйлдсэн
ГХ</t>
  </si>
  <si>
    <t>Илрүү
лэлт</t>
  </si>
  <si>
    <t>ГХ</t>
  </si>
  <si>
    <t>Хүн</t>
  </si>
  <si>
    <t>2011 он</t>
  </si>
  <si>
    <t>Сум</t>
  </si>
  <si>
    <t>Монгол даатгал</t>
  </si>
  <si>
    <t>Тэнгэр даатгал</t>
  </si>
  <si>
    <t>Даатгуулсан малын тоо</t>
  </si>
  <si>
    <t>өрхийн 
тоо</t>
  </si>
  <si>
    <t>хураамж /төг/</t>
  </si>
  <si>
    <t>бүх 
мал</t>
  </si>
  <si>
    <t>тэмээ</t>
  </si>
  <si>
    <t>адуу</t>
  </si>
  <si>
    <t>үхэр</t>
  </si>
  <si>
    <t>хонь</t>
  </si>
  <si>
    <t>ямаа</t>
  </si>
  <si>
    <t>øèíýýð ýëññýí</t>
  </si>
  <si>
    <t>òºãñºõ àíãèä</t>
  </si>
  <si>
    <t>эчнээгээр нийт</t>
  </si>
  <si>
    <t>оройгоор нийт</t>
  </si>
  <si>
    <t xml:space="preserve">Халдварт шар </t>
  </si>
  <si>
    <t>Àæèë îëãîã÷îîñ îëãîõ òýòãýìæ, íýã óäààãèéí óðàìøóóëàë äýìæëýã</t>
  </si>
  <si>
    <t>Òýòãýâýðò ãàðàõàä íü îëãîõ íýã óäààãèéí ìºíãºí òýòãýìæ</t>
  </si>
  <si>
    <t>Òºðèéí àëáàí õààã÷èéí ãýð á¿ëä îëãîõ ìºíãºí òóñëàìæ</t>
  </si>
  <si>
    <t>Õºäºº îðîí íóòàãò òîãòâîð ñóóðüøèëòàé àæèëëàñàí àëáàí õààã÷èä îëãîõ òýòãýìæ</t>
  </si>
  <si>
    <t xml:space="preserve">Сарын эхний үлдэгдэл </t>
  </si>
  <si>
    <t>Хасах: Тухайн сард төлөгдсөн өглөгүүд</t>
  </si>
  <si>
    <t>Нэмэх: Тухайн сард шинээр үүссэн өглөгүүд</t>
  </si>
  <si>
    <t>Үүнээс:</t>
  </si>
  <si>
    <t xml:space="preserve">31-60 өдөр </t>
  </si>
  <si>
    <t xml:space="preserve">61-120 өдөр </t>
  </si>
  <si>
    <t>121 хоногоос дээш</t>
  </si>
  <si>
    <t xml:space="preserve">                      Äîðíîä àéìãèéí Çàñàã äàðãûí äýðãýäýõ 
                   Ñòàòèñòèêèéí õýëòýñ</t>
  </si>
  <si>
    <t>I. ªÐÕ, Õ¯Í ÀÌ</t>
  </si>
  <si>
    <t>II.ÒªÑªÂ</t>
  </si>
  <si>
    <t>Óëñ, îðîí íóòãèéí òºñâèéí áàéãóóëëàãóóäûí çàðëàãûí ìýäýý</t>
  </si>
  <si>
    <t>Òàíèëöóóëãà (áè÷ìýë)</t>
  </si>
  <si>
    <t>Íèéãýì, ýäèéí çàñãèéí ¿íäñýí ¿ç¿¿ëýëò¿¿ä</t>
  </si>
  <si>
    <t>1-2</t>
  </si>
  <si>
    <t>3-8</t>
  </si>
  <si>
    <t>9-11</t>
  </si>
  <si>
    <t>ºññºí ä¿íãýýð</t>
  </si>
  <si>
    <t>ñóóðèí õ¿í àì íàñààð, ñóìäààð, õ¿éñýýð</t>
  </si>
  <si>
    <t xml:space="preserve">                                                                         ÓËÑ, ÎÐÎÍ ÍÓÒÃÈÉÍ ÒªÑÂÈÉÍ ÁÀÉÃÓÓËËÀÃÓÓÄÛÍ ÇÀÐËÀÃÛÍ ÌÝÄÝÝ</t>
  </si>
  <si>
    <t>III.ÕªÄªª ÀÆ ÀÕÓÉ</t>
  </si>
  <si>
    <t>Áóñàä áàéãóóëëàãà èðãýäýýñ àâàõ àâëàãûí ýõíèé ¿ëäýãäýë</t>
  </si>
  <si>
    <t>28-29</t>
  </si>
  <si>
    <t>Ìàëòàé ºðõèéí òîîíû ººð÷ëºëò</t>
  </si>
  <si>
    <t>Ìàë÷èí ºðõ, ìàë÷äûí òîî ñóìäààð</t>
  </si>
  <si>
    <t>33</t>
  </si>
  <si>
    <t>34</t>
  </si>
  <si>
    <t>35-36</t>
  </si>
  <si>
    <t>Ñ¿ðãèéí ýðãýëò</t>
  </si>
  <si>
    <t>37</t>
  </si>
  <si>
    <t>Ìàëûí òýæýýëèéí ìýäýý</t>
  </si>
  <si>
    <t>38</t>
  </si>
  <si>
    <t>Òýæýýâýð àìüòäûí òîî, áîðëóóëàëò</t>
  </si>
  <si>
    <t>Ìàë÷äûí àõóé ñî¸ëûí ¿ç¿¿ëýëò¿¿ä, ìàë òîîëëîãûí çàðäàë</t>
  </si>
  <si>
    <t>39-40</t>
  </si>
  <si>
    <t>Øèíýýð ãàðãàñàí õóäàã</t>
  </si>
  <si>
    <t>41</t>
  </si>
  <si>
    <t>Òîì ìàëûí ç¿é áóñ õîðîãäîë</t>
  </si>
  <si>
    <t>Òºë áîéæèëò, ñóìäààð</t>
  </si>
  <si>
    <t>44</t>
  </si>
  <si>
    <t>45</t>
  </si>
  <si>
    <t>Òàðèàëñàí òàëáàé, ñóìäààð</t>
  </si>
  <si>
    <t>Óðãàö õóðààëò, õàäëàí, ãàð òýæýýë, ñóìààð</t>
  </si>
  <si>
    <t>Õýýëò¿¿ëýã÷ ìàëûí òîî</t>
  </si>
  <si>
    <t>46</t>
  </si>
  <si>
    <t>47</t>
  </si>
  <si>
    <t>48-49</t>
  </si>
  <si>
    <t>IV.ÝÐ¯¯Ë ÌÝÍÄ</t>
  </si>
  <si>
    <t>Ýð¿¿ë ìýíäèéí ¿ç¿¿ëýëò¿¿ä</t>
  </si>
  <si>
    <t>Ýð¿¿ëèéã õàìãààëààõûí çàðèì ¿ç¿¿ëýëò¿¿ä</t>
  </si>
  <si>
    <t>Õóâèéí õýâøëèéí ýìíýëýã, ýìèéí ñàíãèéí òºëáºð ¿éë÷èëãýýíèé ìýäýý</t>
  </si>
  <si>
    <t>Õàëäâàðò ºâ÷íèé ìýäýý</t>
  </si>
  <si>
    <t>50</t>
  </si>
  <si>
    <t>51</t>
  </si>
  <si>
    <t>52</t>
  </si>
  <si>
    <t>53</t>
  </si>
  <si>
    <t>54</t>
  </si>
  <si>
    <t>55</t>
  </si>
  <si>
    <t>ЕБС-д суралцагчдын тоо. Ñóðãóóëèóäààð</t>
  </si>
  <si>
    <t>56</t>
  </si>
  <si>
    <t>57</t>
  </si>
  <si>
    <t>58</t>
  </si>
  <si>
    <t>Äîòóóð áàéðàíä àìüäàð÷ áóé ñóðàëöàã÷èä, àæèëëàã÷èä</t>
  </si>
  <si>
    <t>59</t>
  </si>
  <si>
    <t>Ñóðãóóëèéí ºìíºõ áîëîâñðîëûí õàìðàí ñóðãàëòûí òàéëàí</t>
  </si>
  <si>
    <t>60</t>
  </si>
  <si>
    <t>ÌÑ¯Ò-èéí ñóðàëöàã÷äûí òîî</t>
  </si>
  <si>
    <t>63</t>
  </si>
  <si>
    <t>64</t>
  </si>
  <si>
    <t>65</t>
  </si>
  <si>
    <t>66</t>
  </si>
  <si>
    <t>Ãààëèéí ìýäýý</t>
  </si>
  <si>
    <t>67</t>
  </si>
  <si>
    <t>68</t>
  </si>
  <si>
    <t>71</t>
  </si>
  <si>
    <t>72</t>
  </si>
  <si>
    <t>73</t>
  </si>
  <si>
    <t>74</t>
  </si>
  <si>
    <t>2012.01.04</t>
  </si>
  <si>
    <t>Òýýâðèéí íèéò îðëîãî</t>
  </si>
  <si>
    <t xml:space="preserve">     </t>
  </si>
  <si>
    <t>Байгуууллагын нэр</t>
  </si>
  <si>
    <t>Үйлдвэрлэлт</t>
  </si>
  <si>
    <t xml:space="preserve">               </t>
  </si>
  <si>
    <t xml:space="preserve">                                            ÀÆ  ¯ÉËÄÂÝÐÈÉÍ ÍÈÉÒ  Á¯ÒÝÝÃÄÝÕ¯¯Í  ¯ÉËÄÂÝÐËÝËÒ  ÁÎÐËÓÓËÀËÒ</t>
  </si>
  <si>
    <t xml:space="preserve">                                 </t>
  </si>
  <si>
    <t>ªñºëò
бууралт</t>
  </si>
  <si>
    <t>áàíø</t>
  </si>
  <si>
    <t>ÒªË ÁÎÉÆÈËÒ</t>
  </si>
  <si>
    <t>Ñóìä</t>
  </si>
  <si>
    <t>Ýíý îíä</t>
  </si>
  <si>
    <t xml:space="preserve">          Òºëëºñºí õýýëòýã÷</t>
  </si>
  <si>
    <t xml:space="preserve">           Òºëëºëòèéí õóâü</t>
  </si>
  <si>
    <t>Èíãý</t>
  </si>
  <si>
    <t>Ã¿¿</t>
  </si>
  <si>
    <t>¯íýý</t>
  </si>
  <si>
    <t>Ýì õîíü</t>
  </si>
  <si>
    <t>Ýì ÿìàà</t>
  </si>
  <si>
    <t xml:space="preserve">Ýì </t>
  </si>
  <si>
    <t>Òýìýý</t>
  </si>
  <si>
    <t>Àäóó</t>
  </si>
  <si>
    <t>¯õýð</t>
  </si>
  <si>
    <t>õîíü</t>
  </si>
  <si>
    <t>ÿìàà</t>
  </si>
  <si>
    <t>Äá</t>
  </si>
  <si>
    <t>ªì/îíä</t>
  </si>
  <si>
    <t>Ãàðñàí òºë</t>
  </si>
  <si>
    <t>Õîðîãäñîí òºë</t>
  </si>
  <si>
    <t>Íîäíèí ìºí ¿åä</t>
  </si>
  <si>
    <t>Áîòãî</t>
  </si>
  <si>
    <t>Óíàãà</t>
  </si>
  <si>
    <t>Òóãàë</t>
  </si>
  <si>
    <t>Õóðãà</t>
  </si>
  <si>
    <t>Èøèã</t>
  </si>
  <si>
    <t>Áîéæñîí òºë</t>
  </si>
  <si>
    <t>Áîéæèëòûí õóâü</t>
  </si>
  <si>
    <t xml:space="preserve">ÌÀË×ÈÍ ªÐÕÈÉÍ ÒÎÎ </t>
  </si>
  <si>
    <t>ÌÀË×ÈÍ ªÐÕÈÉÍ ÒÎÎ</t>
  </si>
  <si>
    <t>ÄÎÐÍÎÄ ÀÉÌÃÈÉÍ ÀÌÈÍÛ ÌÀËÛÍ Á¯ËÝÃËÝËÒ</t>
  </si>
  <si>
    <t>ªðõèéí
òîî</t>
  </si>
  <si>
    <t>Àì á¿ëèéí
òîî</t>
  </si>
  <si>
    <t>Íèéò ìàëûí
òîî</t>
  </si>
  <si>
    <t>Õîíü</t>
  </si>
  <si>
    <t>ßìàà</t>
  </si>
  <si>
    <t>10 õ¿ðòýë ìàëòàé</t>
  </si>
  <si>
    <t>11-30 ìàëòàé</t>
  </si>
  <si>
    <t>31-50 ìàëòàé</t>
  </si>
  <si>
    <t>51-100 ìàëòàé</t>
  </si>
  <si>
    <t>101-200 ìàëòàé</t>
  </si>
  <si>
    <t>201-500 ìàëòàé</t>
  </si>
  <si>
    <t>501-999 ìàëòàé</t>
  </si>
  <si>
    <t>1000-1499 ìàëòàé</t>
  </si>
  <si>
    <t>1500-2000 ìàëòàé</t>
  </si>
  <si>
    <t>2001-ýýñ äýýø ìàëòàé</t>
  </si>
  <si>
    <t>Çºð¿¿
(+-)</t>
  </si>
  <si>
    <t>Çºð¿o(+-)</t>
  </si>
  <si>
    <t>¿¿íýýñ</t>
  </si>
  <si>
    <t xml:space="preserve">                                                   Á¿õ ìàëààñ àëáàí ãàçðûí ìàë</t>
  </si>
  <si>
    <t>ÄÎÐÍÎÄ ÀÉÌÃÈÉÍ Ñ¯ÐÃÈÉÍ ÝÐÃÝËÒ</t>
  </si>
  <si>
    <t>Á¿õ ìàëààð, àéìãèéí ä¿íãýýð</t>
  </si>
  <si>
    <t>Îí</t>
  </si>
  <si>
    <t>Îíû
ýõíèé 
ìàë</t>
  </si>
  <si>
    <t>Îíû 
ýöñèéí 
ìàë</t>
  </si>
  <si>
    <t xml:space="preserve">Áýëýí </t>
  </si>
  <si>
    <t>Õóäàëäàæ
àâñàí 
øèëæèæ
èðñýí</t>
  </si>
  <si>
    <t xml:space="preserve">Îðëîãî </t>
  </si>
  <si>
    <t>Õóä-ñàí</t>
  </si>
  <si>
    <t>Çàõ</t>
  </si>
  <si>
    <t>Àæ àõóéí</t>
  </si>
  <si>
    <t>Ç¿é áóñ</t>
  </si>
  <si>
    <t>Çàðëàãà</t>
  </si>
  <si>
    <t>òºë</t>
  </si>
  <si>
    <t>øèëæ-ñýí</t>
  </si>
  <si>
    <t>çýýëä</t>
  </si>
  <si>
    <t>äîòîîä</t>
  </si>
  <si>
    <t>õîðîãäîë</t>
  </si>
  <si>
    <t>õýìæèõ íýãæ: òí</t>
  </si>
  <si>
    <t>Äàðøíû 
óðãàìàë</t>
  </si>
  <si>
    <t>Газар тариалан эрхэлдэг ААН</t>
  </si>
  <si>
    <t xml:space="preserve">Õóæèð </t>
  </si>
  <si>
    <t>¯ð òàðèàíû</t>
  </si>
  <si>
    <t>ø¿¿</t>
  </si>
  <si>
    <t>õàÿãäàë</t>
  </si>
  <si>
    <t xml:space="preserve"> /Ñóìûí íýð/</t>
  </si>
  <si>
    <t xml:space="preserve">     Çàðäàë á¿ãä ìÿí.òºã</t>
  </si>
  <si>
    <t>Òºñºâò ñóóëãàõààð
ºãñºí ñàíàë</t>
  </si>
  <si>
    <t>Øàòàõóóí</t>
  </si>
  <si>
    <t>Òîìèëîëò</t>
  </si>
  <si>
    <t>Õÿíàëòûí òîîëëîãî</t>
  </si>
  <si>
    <t xml:space="preserve">Òîîëëîãûí </t>
  </si>
  <si>
    <t>Òîîëîã÷èéí</t>
  </si>
  <si>
    <t>Õÿíàëòûí</t>
  </si>
  <si>
    <t>Ìàë òîîëëîãîä àæèëëàñàí</t>
  </si>
  <si>
    <t>õýñýã</t>
  </si>
  <si>
    <t>ãðóïïèéí</t>
  </si>
  <si>
    <t>Ìàøèí</t>
  </si>
  <si>
    <t>Ìîðü</t>
  </si>
  <si>
    <t>Ìîòîöèêë</t>
  </si>
  <si>
    <t>¯¯íýýñ</t>
  </si>
  <si>
    <t>Øèíýýð ãàðãàñàí
õóäãèéí òîî</t>
  </si>
  <si>
    <t>èíæåíåðèéí</t>
  </si>
  <si>
    <t>ªðºìäìºë</t>
  </si>
  <si>
    <t>áîãèíî ÿíäàíò</t>
  </si>
  <si>
    <t>áåòîí õàøëàãàò
óóðõàéí</t>
  </si>
  <si>
    <t>Ýíãèéí óóðõàéí</t>
  </si>
  <si>
    <t>Çàðöóóëñàí 
õºðºíãèéí õýìæýý</t>
  </si>
  <si>
    <t>Óëñûí òºñâèéí
õºðºíãººð</t>
  </si>
  <si>
    <t>Ãàäààä îðîí,ÎÓÁ-ûí òºñºë, õºòºëáºðèéí
õºðºíãººð</t>
  </si>
  <si>
    <t>Ìàë÷èë èðãýäèéí
ººðèéí õºðºíãººð</t>
  </si>
  <si>
    <t>Õóäàã çàñâàðëàõàä ò¿ð
àæèëëàñàí îðîí íóòãèéí èðãýäèéí òîî õ¿í ºäðººð</t>
  </si>
  <si>
    <t>Çàñüàðëàñàí
õóäãèéí òîî</t>
  </si>
  <si>
    <t>Àìüòàä</t>
  </si>
  <si>
    <t>ªñãºí 
¿ðæ¿¿ëäýã
ºðõ</t>
  </si>
  <si>
    <t xml:space="preserve">             Á¯ÃÄ Ä¯Í</t>
  </si>
  <si>
    <t>Àìèíû àæ àõóé</t>
  </si>
  <si>
    <t xml:space="preserve">                 ¿¿íýýñ</t>
  </si>
  <si>
    <t>Õýýëò¿¿ëýã÷</t>
  </si>
  <si>
    <t>Ãàõàé</t>
  </si>
  <si>
    <t>Øóâóó</t>
  </si>
  <si>
    <t>¯¿íýýñ: òàõèà</t>
  </si>
  <si>
    <t>Òóóëàé</t>
  </si>
  <si>
    <t>Çºãèé á¿ëýýð</t>
  </si>
  <si>
    <t>ÕÎÐÎÃÄÑÎÍ ÒÎÌ ÌÀË,õîðîãäëûí øàëòãààíààð</t>
  </si>
  <si>
    <t>ªâ÷íººð</t>
  </si>
  <si>
    <t>Ãýíýòýýð</t>
  </si>
  <si>
    <t>Ýíý îíä
á¿ãä</t>
  </si>
  <si>
    <t xml:space="preserve">                                                                  ÒÎÌ ÌÀËÛÍ Ç¯É ÁÓÑÛÍ ÕÎÐÎÃÄÎË</t>
  </si>
  <si>
    <t>(Îíû ýõíýýñ ºññºí ä¿íãýýð)</t>
  </si>
  <si>
    <t xml:space="preserve">                           ¯¿íýýñ</t>
  </si>
  <si>
    <t>Îíû ýõíèé ìàëä 
õàðüöóóëñàí õóâü</t>
  </si>
  <si>
    <t>Õîðîãäëûí øàëòãààí</t>
  </si>
  <si>
    <t>2011 îíû
ýõíèé
ìàë</t>
  </si>
  <si>
    <t>Õîðîãäñîí õýýëòýã÷</t>
  </si>
  <si>
    <t>ªâ÷èí</t>
  </si>
  <si>
    <t>Ãýíýò</t>
  </si>
  <si>
    <t xml:space="preserve"> Ýì 
õîíü</t>
  </si>
  <si>
    <t>Ýì 
ÿìàà</t>
  </si>
  <si>
    <t>ªìíºõ îíä</t>
  </si>
  <si>
    <t>ÕÝÝËÒ¯¯ËÝÃ× ÌÀËÛÍ ÒÎÎ, àéìãèéí ä¿í, îíîîð</t>
  </si>
  <si>
    <t>Áóóð</t>
  </si>
  <si>
    <t>Àçðàãà</t>
  </si>
  <si>
    <t>Áóõ</t>
  </si>
  <si>
    <t>Õóö</t>
  </si>
  <si>
    <t>Óõíà</t>
  </si>
  <si>
    <t>Äóíäàæ</t>
  </si>
  <si>
    <t>Õýýëòýã÷, àéìãèéí ä¿íãýýð, îíîîð</t>
  </si>
  <si>
    <t>Õýýëòýã÷ õýýëò¿¿ëýã÷èéí òîõèðîî, àéìãèéí ä¿í, îíîîð</t>
  </si>
  <si>
    <t>¯ðæëèéí íîðì</t>
  </si>
  <si>
    <t>20-25</t>
  </si>
  <si>
    <t>12-15.</t>
  </si>
  <si>
    <t>35-45</t>
  </si>
  <si>
    <t>25-30</t>
  </si>
  <si>
    <t>Ногоон тэжээл</t>
  </si>
  <si>
    <t>Гурвалжин будаа</t>
  </si>
  <si>
    <t>Òàðèõ
òàëáàé</t>
  </si>
  <si>
    <t>ª.îíä</t>
  </si>
  <si>
    <t xml:space="preserve">                                   Õ¿íñíèé íîãîî</t>
  </si>
  <si>
    <t>ÓËÀÀÍ ÁÓÓÄÀÉ</t>
  </si>
  <si>
    <t xml:space="preserve">                    </t>
  </si>
  <si>
    <t>Ìýðãýæëèéí èíäåêñ</t>
  </si>
  <si>
    <t>Ìýðãýæëèéí íýðñ</t>
  </si>
  <si>
    <t>Áîëîâñðîëûí ò¿âøèí</t>
  </si>
  <si>
    <t>Ñóðàëöàã÷äûí òîî (àíãèàð)</t>
  </si>
  <si>
    <t>¯¿íýýñ:</t>
  </si>
  <si>
    <t>Áýëòãýë</t>
  </si>
  <si>
    <t>I</t>
  </si>
  <si>
    <t>II</t>
  </si>
  <si>
    <t>III</t>
  </si>
  <si>
    <t>IV</t>
  </si>
  <si>
    <t>V</t>
  </si>
  <si>
    <t>VI</t>
  </si>
  <si>
    <t>á¿ãäýýñ:</t>
  </si>
  <si>
    <t>Òóõàéí æèëä 10-ð àíãè òºãñºã÷äººñ</t>
  </si>
  <si>
    <t>Áóñàä õýëáýðèéí ñóðãóóëèàñ</t>
  </si>
  <si>
    <t>Àæèëëàã÷-           äààñ</t>
  </si>
  <si>
    <t>Àæèëã¿é÷¿¿-äýýñ</t>
  </si>
  <si>
    <t>D140100</t>
  </si>
  <si>
    <t xml:space="preserve">ÑªÍÕ-èéí áàãø  </t>
  </si>
  <si>
    <t>D140200</t>
  </si>
  <si>
    <t>Áàãà àíãèéí áàãø</t>
  </si>
  <si>
    <t>D141100</t>
  </si>
  <si>
    <t>Ìîíãîë õýë óðàí çîõèîëûí áàãø</t>
  </si>
  <si>
    <t>D141400</t>
  </si>
  <si>
    <t>Багш, математикийн</t>
  </si>
  <si>
    <t>D140400</t>
  </si>
  <si>
    <t>Çóðàã äèçàéíû áàãø</t>
  </si>
  <si>
    <t>D341400</t>
  </si>
  <si>
    <t>Íÿãòëàí áîäîõ á¿ðòãýë</t>
  </si>
  <si>
    <t>D141500</t>
  </si>
  <si>
    <t>Ìàòåìàòèê ìýäýýëýë ç¿éí áàãø</t>
  </si>
  <si>
    <t>D141700</t>
  </si>
  <si>
    <t>Багш, мэдээлэл зүйн</t>
  </si>
  <si>
    <t>D143200</t>
  </si>
  <si>
    <t>Багш, англи хэлний</t>
  </si>
  <si>
    <t>D220700</t>
  </si>
  <si>
    <t>Орчуулга, Хятад хэл</t>
  </si>
  <si>
    <t>D760100</t>
  </si>
  <si>
    <t>Íèéãìèéí ажил</t>
  </si>
  <si>
    <t>D141200</t>
  </si>
  <si>
    <t>Багш, монгол-англи хэл</t>
  </si>
  <si>
    <t>Өдрөөр нийт</t>
  </si>
  <si>
    <t>ÑªÍÕ-èéí áàãø  1.5 жил</t>
  </si>
  <si>
    <t>ÑªÍÕ-èéí áàãø  2.5 жил</t>
  </si>
  <si>
    <t>ÑªÍÕ-èéí áàãø  5 жил</t>
  </si>
  <si>
    <t>Áàãà àíãèéí áàãø 1.5 жил</t>
  </si>
  <si>
    <t>2011-2012 îíû õè÷ýýëèéí æèë</t>
  </si>
  <si>
    <t>ÑÓÐÃÓÓËÈÉÍ ªÌÍªÕ ÁÎËÎÂÑÐÎËÛÍ ÁÀÉÃÓÓËËÀÃÛÍ</t>
  </si>
  <si>
    <t xml:space="preserve"> Á¯ËÝÃ, ÕÀÌÐÀÃÄÀÃ×ÄÛÍ 2011-2012 ÎÍÛ </t>
  </si>
  <si>
    <t>ÕÈ×ÝÝËÈÉÍ ÆÈËÈÉÍ ÒÀÉËÀÍ</t>
  </si>
  <si>
    <t>(ñóðãàëòûí õýëáýð, íàñ, õ¿éñ)</t>
  </si>
  <si>
    <t>Yç¿¿ëýëò</t>
  </si>
  <si>
    <t>ÌÄ</t>
  </si>
  <si>
    <t>Íàñààð</t>
  </si>
  <si>
    <t>¯¿íýýñ: ýìýãòýé</t>
  </si>
  <si>
    <t>2 õ¿ðòýëõ</t>
  </si>
  <si>
    <t>Á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</si>
  <si>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</si>
  <si>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</si>
  <si>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</si>
  <si>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</si>
  <si>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</si>
  <si>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</si>
  <si>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</si>
  <si>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</si>
  <si>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</si>
  <si>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</si>
  <si>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</si>
  <si>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</si>
  <si>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</si>
  <si>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1. ÑªÁ-ä õàìðàãäàæ áàéãàà õ¿¿õäèéí òîî</t>
  </si>
  <si>
    <t>01</t>
  </si>
  <si>
    <t xml:space="preserve">¯¿íýýñ: </t>
  </si>
  <si>
    <t>Ìàë÷äûí õ¿¿õýä</t>
  </si>
  <si>
    <t>õ</t>
  </si>
  <si>
    <t>1.1 Öýöýðëýãèéí õ¿¿õäèéí òîî</t>
  </si>
  <si>
    <t xml:space="preserve">¯¿íýýñ : á¿ëãýýð </t>
  </si>
  <si>
    <t>ßñëè</t>
  </si>
  <si>
    <t>Áàãà</t>
  </si>
  <si>
    <t>Äóíä</t>
  </si>
  <si>
    <t>Àõëàõ</t>
  </si>
  <si>
    <t>Õîëèìîã</t>
  </si>
  <si>
    <t>Øèíýýð ýëññýí õ¿¿õýä</t>
  </si>
  <si>
    <t>Õàëàìæ ýäýëäýã õ¿¿õýä</t>
  </si>
  <si>
    <t>Á¿òýí ºí÷èí õ¿¿õýä</t>
  </si>
  <si>
    <t>Õºãæëèéí áýðøýýëòýé õ¿¿õýä</t>
  </si>
  <si>
    <t>Õàðàõ ýðõòýíèé</t>
  </si>
  <si>
    <t>Ñîíñîõ ýðõòýíèé</t>
  </si>
  <si>
    <t>Õýë ÿðèàíû ýðõòýíèé</t>
  </si>
  <si>
    <t>Îþóí óõààíû</t>
  </si>
  <si>
    <t>Áèå ýðõòýíèé</t>
  </si>
  <si>
    <t>Õàâñàðñàí õýëáýðèéí</t>
  </si>
  <si>
    <t>1.2  Õóâèëáàðò  ñóðãàëòàä õàìðàãäàæ áàéãàà õ¿¿õäèéí òîî</t>
  </si>
  <si>
    <t>Ýýëæèéí á¿ëýãò</t>
  </si>
  <si>
    <t>Í¿¿äëèéí á¿ëýãò</t>
  </si>
  <si>
    <t>ßâóóëûí áàãøèéí ñóðãàëòàíä õàìðàãäàã÷èä</t>
  </si>
  <si>
    <r>
      <t>(ìýðãýæèë, àíãè, õ</t>
    </r>
    <r>
      <rPr>
        <b/>
        <sz val="8"/>
        <color indexed="8"/>
        <rFont val="Arial"/>
        <family val="2"/>
      </rPr>
      <t>үéñýýð)</t>
    </r>
  </si>
  <si>
    <t>Ñóðàëöàã÷èä</t>
  </si>
  <si>
    <t>Нийт сóðàëöàã÷èä</t>
  </si>
  <si>
    <t>Ýìэгтэй</t>
  </si>
  <si>
    <t>I àíãè</t>
  </si>
  <si>
    <t>II àíãè</t>
  </si>
  <si>
    <t>III àíãè</t>
  </si>
  <si>
    <t>Б</t>
  </si>
  <si>
    <t>16</t>
  </si>
  <si>
    <t>17</t>
  </si>
  <si>
    <t>18</t>
  </si>
  <si>
    <t>19</t>
  </si>
  <si>
    <t>20</t>
  </si>
  <si>
    <t>21</t>
  </si>
  <si>
    <t>Ñàíòåõíèê÷</t>
  </si>
  <si>
    <t>Ñóðãàëòûí ìåíåæåð</t>
  </si>
  <si>
    <t>В</t>
  </si>
  <si>
    <t>д/д</t>
  </si>
  <si>
    <t>Төслийн нэр</t>
  </si>
  <si>
    <t>№</t>
  </si>
  <si>
    <t>-</t>
  </si>
  <si>
    <t>Нийт</t>
  </si>
  <si>
    <t>ШИНЭ АЖЛЫН БАЙРАНД АЖИЛЛАЖ БАЙГАА ХҮНИЙ ТОО. Эдийн засгийн гол нэр төрлөөр</t>
  </si>
  <si>
    <t>Эдийн засгийн үйл ажиллагааны салбарын ангиллаар</t>
  </si>
  <si>
    <t>ХАА, ан агнуур, ойн аж ахуй, загас агнуур</t>
  </si>
  <si>
    <t>Уул уурхай, олборлолт</t>
  </si>
  <si>
    <t>Боловсруулах үйлдвэр</t>
  </si>
  <si>
    <t>Барилга</t>
  </si>
  <si>
    <t xml:space="preserve">Бөөний болон жижиглэн худалдаа </t>
  </si>
  <si>
    <t xml:space="preserve">Зочид буудал, зоогийн газар </t>
  </si>
  <si>
    <t>Төрийн удирдлага, батлан хамгаалах, албан журмын даатгал</t>
  </si>
  <si>
    <t>Боловсрол</t>
  </si>
  <si>
    <t>Эрүүл мэнд, нийгмийн халамж</t>
  </si>
  <si>
    <t>Үйлчилгээний бусад үйл ажиллагаа</t>
  </si>
  <si>
    <t xml:space="preserve">Баяндун </t>
  </si>
  <si>
    <t xml:space="preserve">Матад </t>
  </si>
  <si>
    <t xml:space="preserve">Сэргэлэн </t>
  </si>
  <si>
    <t xml:space="preserve">Чулуунхороот </t>
  </si>
  <si>
    <t>/АЖИЛ ХАЙЖ БУЙ ШАЛТГААН, АЖИЛД ЗУУЧЛАГДАН ОРСОН БАЙДАЛ, АЙМАГ, НИЙСЛЭЛ, БҮСЭЭР, ӨССӨН ДҮНГЭЭР/</t>
  </si>
  <si>
    <t>Мөрийн дугаар</t>
  </si>
  <si>
    <t>Ажилгүй иргэн                                            /Одоо идэвхтэй байгаа/</t>
  </si>
  <si>
    <t>Үүнээс: Эмэгтэй</t>
  </si>
  <si>
    <t xml:space="preserve"> Ажил хайж байгаа шалтгаанаар </t>
  </si>
  <si>
    <t>Тайлант хугацаанд хасагдсан</t>
  </si>
  <si>
    <t xml:space="preserve">Ажилд зуучлагдан орсон </t>
  </si>
  <si>
    <t>Байгууллагын хариуцлагын хэлбэрээр</t>
  </si>
  <si>
    <t>Насны бүлгээр</t>
  </si>
  <si>
    <t>Боловсролын түвшингээр</t>
  </si>
  <si>
    <t xml:space="preserve">  Шилжин суурьшсан</t>
  </si>
  <si>
    <t xml:space="preserve">  Тухайн жилд сургууль төгссөн</t>
  </si>
  <si>
    <t>Сургууль төгсөөд ажилгүй байгаа</t>
  </si>
  <si>
    <t>Сургуулиа орхисон /гарсан, чөлөө авсан/</t>
  </si>
  <si>
    <t>Тухайн жилд цэргээс халагдсан</t>
  </si>
  <si>
    <t xml:space="preserve"> Цэргээс халагдаад ажилгүй байгаа</t>
  </si>
  <si>
    <t>Гадаадаас эргэж ирсэн</t>
  </si>
  <si>
    <t>Хорих газраас суллагдсан</t>
  </si>
  <si>
    <t>Ажлаас чөлөөлөгдсөн/ халагдсан</t>
  </si>
  <si>
    <t>Хувьцаат компани</t>
  </si>
  <si>
    <t>Хязгаарлагдмал                 хариуцлагатай компани</t>
  </si>
  <si>
    <t>Бүх гишүүд нь бүрэн хариуцлагатай нөхөрлөл</t>
  </si>
  <si>
    <t>Зарим гишүүд нь бүрэн хариуцлагатай нөхөрлөл</t>
  </si>
  <si>
    <t>Хоршоо</t>
  </si>
  <si>
    <t>Төрийн өмчит аж ахуйн тооцоотой үйлдвэрийн газар</t>
  </si>
  <si>
    <t>Орон нутгийн өмчит аж ахуйн тооцоотой үйлдвэрийн газар</t>
  </si>
  <si>
    <t>Төсөвт байгууллага</t>
  </si>
  <si>
    <t>Төрийн бус байгууллага</t>
  </si>
  <si>
    <t>Магистр, доктор</t>
  </si>
  <si>
    <t xml:space="preserve">Дипломын болон бакалаврын </t>
  </si>
  <si>
    <t>Тусгай мэргэжлийн дунд</t>
  </si>
  <si>
    <t>Техникийн болон мэргэжлийн</t>
  </si>
  <si>
    <t>Бүрэн дунд</t>
  </si>
  <si>
    <t xml:space="preserve">Суурь </t>
  </si>
  <si>
    <t xml:space="preserve">Бага </t>
  </si>
  <si>
    <t>Боловсролгүй</t>
  </si>
  <si>
    <t xml:space="preserve">Тайлант хугацаанд нэмэгдсэн </t>
  </si>
  <si>
    <t>Гүйцэтгэж байгаа ажил, албан тушаалдаа мэргэжлийн ур чадварын хувьд тэнцэхгүй болсон</t>
  </si>
  <si>
    <t>Гүйцэтгэж байгаа ажил, албан тушаалдаа эрүүл мэндийн хувьд тэнцэхгүй болсон</t>
  </si>
  <si>
    <t xml:space="preserve">Тэтгэвэрт гарсан </t>
  </si>
  <si>
    <t>Хөдөлмөрийн сахилгын зөрчил гаргасан</t>
  </si>
  <si>
    <t>Орон тооны цомхотголд орсон</t>
  </si>
  <si>
    <t>Байгууллага татан буугдсан</t>
  </si>
  <si>
    <t xml:space="preserve"> 15 - 24 </t>
  </si>
  <si>
    <t>25 - 34</t>
  </si>
  <si>
    <t>35 - 44</t>
  </si>
  <si>
    <t>44 - 59</t>
  </si>
  <si>
    <t>60+</t>
  </si>
  <si>
    <t>Баян-Өлгий</t>
  </si>
  <si>
    <t>Завхан</t>
  </si>
  <si>
    <t>Увс</t>
  </si>
  <si>
    <t>Ховд</t>
  </si>
  <si>
    <t>Архангай</t>
  </si>
  <si>
    <t>Баянхонгор</t>
  </si>
  <si>
    <t>Орхон</t>
  </si>
  <si>
    <t>Өвөрхангай</t>
  </si>
  <si>
    <t>Хөвсгөл</t>
  </si>
  <si>
    <t>Говьсүмбэр</t>
  </si>
  <si>
    <t>Дархан-Уул</t>
  </si>
  <si>
    <t>Дорноговь</t>
  </si>
  <si>
    <t>Дундговь</t>
  </si>
  <si>
    <t>Өмнөговь</t>
  </si>
  <si>
    <t>Сэлэнгэ</t>
  </si>
  <si>
    <t>Төв</t>
  </si>
  <si>
    <t>Дорнод</t>
  </si>
  <si>
    <t>Сүхбаатар</t>
  </si>
  <si>
    <t>Хэнтий</t>
  </si>
  <si>
    <t>Улаанбаатар</t>
  </si>
  <si>
    <t>Үзүүлэлт</t>
  </si>
  <si>
    <t xml:space="preserve">Нийт </t>
  </si>
  <si>
    <t>IV àíãè</t>
  </si>
  <si>
    <t>V àíãè</t>
  </si>
  <si>
    <t>VIII àíãè</t>
  </si>
  <si>
    <t>IX àíãè</t>
  </si>
  <si>
    <t>X àíãè</t>
  </si>
  <si>
    <t>XI àíãè</t>
  </si>
  <si>
    <t>XII àíãè</t>
  </si>
  <si>
    <t>1-ð ñóðãóóëü</t>
  </si>
  <si>
    <t>2-ð ñóðãóóëü</t>
  </si>
  <si>
    <t>5-ð ñóðãóóëü</t>
  </si>
  <si>
    <t>6-ð ñóðãóóëü</t>
  </si>
  <si>
    <t>8-ð ñóðãóóëü</t>
  </si>
  <si>
    <t>11-ð ñóðãóóëü</t>
  </si>
  <si>
    <t>12-ð ñóðãóóëü</t>
  </si>
  <si>
    <t>Õàí-óóë</t>
  </si>
  <si>
    <t>Øèíý õºãæèë</t>
  </si>
  <si>
    <t>Õàëõ ãîë</t>
  </si>
  <si>
    <t>Øèíý çóóí</t>
  </si>
  <si>
    <t>FLOWER</t>
  </si>
  <si>
    <t>Õºãæëèéí áýðøýýëòýé-á¿ãä</t>
  </si>
  <si>
    <t xml:space="preserve">¿¿íýýñ: </t>
  </si>
  <si>
    <t>õàðàõ ýðõòýíèé</t>
  </si>
  <si>
    <t>ñîíñîõ ýðõòýíèé</t>
  </si>
  <si>
    <t>õýë ÿðèàíû ýðõòýíèé</t>
  </si>
  <si>
    <t>îþóí óõààíû</t>
  </si>
  <si>
    <t>áèå ýðõòýíèé</t>
  </si>
  <si>
    <t>õàâñàðñàí õýëáýðèéí</t>
  </si>
  <si>
    <t xml:space="preserve">ÅÁÑ-ÈÉÍ ÄÎÒÓÓÐ ÁÀÉÐ, ÀÌÜÄÀÐ× ÁÓÉ ÑÓÐÀËÖÀÃ×ÈÄ, </t>
  </si>
  <si>
    <t>ÀÆÈËËÀÃ×ÄÛÍ 2011-2012  ÎÍÛ ÕÈ×ÝÝËÈÉÍ ÆÈËÈÉÍ ÒÀÉËÀÍ</t>
  </si>
  <si>
    <t>(àíãè, õ¿éñ)</t>
  </si>
  <si>
    <t xml:space="preserve">Äîòóóð áàéð </t>
  </si>
  <si>
    <t xml:space="preserve">Y¿íýýñ: </t>
  </si>
  <si>
    <t>Ñòàíäàðòûí</t>
  </si>
  <si>
    <t>Õ¿¿õýä áàéðëàõ ºðºº</t>
  </si>
  <si>
    <t>Òîãëîîì, àìðàëòûí ºðºº</t>
  </si>
  <si>
    <t>ì2</t>
  </si>
  <si>
    <t>Íîìûí ñàí (õè÷ýýë äàâòàõ)</t>
  </si>
  <si>
    <t>Ýð¿¿ë ìýíäèéí ºðºº</t>
  </si>
  <si>
    <t>Õàëóóí óñíû ºðºº</t>
  </si>
  <si>
    <t xml:space="preserve">Ñóóëòóóð </t>
  </si>
  <si>
    <t xml:space="preserve">Óãààëòóóð </t>
  </si>
  <si>
    <t>Öàéíû ãàçàð áèé ýñýõ</t>
  </si>
  <si>
    <t>Èíæåíåðèéí øóãàì ñ¿ëæýýíä õîëáîãäñîí ýñýõ</t>
  </si>
  <si>
    <t>Íàì äàðàëòûí óóðûí çóóõòàé ýñýõ</t>
  </si>
  <si>
    <t>Õîãèéí ñàâ</t>
  </si>
  <si>
    <t>Ñòàíäàðòûí áóñ</t>
  </si>
  <si>
    <t>Õ¿÷èí ÷àäàë /îðîîð/</t>
  </si>
  <si>
    <t>Áàðèëãûí àøèãëàëòàíä îðñîí îí</t>
  </si>
  <si>
    <t>îí</t>
  </si>
  <si>
    <t>Èõ çàñâàð õèéãäñýí îí</t>
  </si>
  <si>
    <t>Ýìýãòýé</t>
  </si>
  <si>
    <t>Äîòóóð áàéðàíä ñóóõ õ¿ñýëò ãàðãàñàí õ¿¿õýä</t>
  </si>
  <si>
    <t>Y¿íýýñ: ìàë÷äûí õ¿¿õýä</t>
  </si>
  <si>
    <t>Äîòóóð áàéðàíä àìüäàð÷ áóé õ¿¿õýä</t>
  </si>
  <si>
    <t>VI àíãè</t>
  </si>
  <si>
    <t>VII àíãè</t>
  </si>
  <si>
    <t>Äîòóóð áàéðàíä àìüäàð÷ áóé ìàë÷äûí õ¿¿õýä</t>
  </si>
  <si>
    <t xml:space="preserve">Äîòóóð áàéðàíä àæèëëàãñäûí òîî /îðîí òîîíû/ </t>
  </si>
  <si>
    <t>Áàãø</t>
  </si>
  <si>
    <t>Áàãø ìýðãýæèëòýé</t>
  </si>
  <si>
    <t>Áàãø áóñ ìýðãýæèëòýé</t>
  </si>
  <si>
    <t>Òóñëàõ áàãø</t>
  </si>
  <si>
    <t>Íÿðàâ</t>
  </si>
  <si>
    <t>Òîãîî÷</t>
  </si>
  <si>
    <t>Æèæ¿¿ð</t>
  </si>
  <si>
    <t>¯éë÷ëýã÷</t>
  </si>
  <si>
    <t>Óóðûí çóóõíû ãàë÷</t>
  </si>
  <si>
    <t>Äîòóóð áàéðàíä ãýðýýãýýð /îðîí òîîíû áóñ/  àæèëëàã÷äûí òîî</t>
  </si>
  <si>
    <t>ÅÁÑ-Ä ÀÆÈËËÀÃ×ÄÈÉÍ 2011-2012  ÎÍÛ ÕÈ×ÝÝËÈÉÍ ÆÈËÈÉÍ  ÒÀÉËÀÍ</t>
  </si>
  <si>
    <t>(õ¿éñ)</t>
  </si>
  <si>
    <t>ÁYÃÄ</t>
  </si>
  <si>
    <t>Y¿íýýñ:</t>
  </si>
  <si>
    <t>Ãýðýýãýýð óëñûí ñåêòîðò àæèëëàæ áàéãàà</t>
  </si>
  <si>
    <t>Òºñâººñ öàëèíæäàã</t>
  </si>
  <si>
    <t>Yéë àæèëëàãààíû îðëîãîîñ öàëèíæäàã</t>
  </si>
  <si>
    <t>Òýòãýâðýý òîãòîîëãîîä àæèëëàæ áàéãàà</t>
  </si>
  <si>
    <t xml:space="preserve">Á¯ÃÄ </t>
  </si>
  <si>
    <t>Öîãöîëáîð ñóðãóóëèéí çàõèðàë</t>
  </si>
  <si>
    <t>x</t>
  </si>
  <si>
    <t xml:space="preserve">Çàõèðàë </t>
  </si>
  <si>
    <t>Íèéãìèéí àæèëòàí</t>
  </si>
  <si>
    <t xml:space="preserve">¯íäñýí áàãø </t>
  </si>
  <si>
    <t>Áàãà àíãèéí</t>
  </si>
  <si>
    <t>Äóíä àíãèéí</t>
  </si>
  <si>
    <t>Àõëàõ àíãèéí</t>
  </si>
  <si>
    <t>Öàãèéí áàãø</t>
  </si>
  <si>
    <t>Õè÷ýýëèéí çîõèöóóëàã÷</t>
  </si>
  <si>
    <t>Õè÷ýýëèéí òóñëàõ àæèëòàí</t>
  </si>
  <si>
    <t>Áàéðíû áàãø</t>
  </si>
  <si>
    <t>Íÿãòëàí áîäîã÷</t>
  </si>
  <si>
    <t>Áè÷èã õýðýã, áè÷ýý÷</t>
  </si>
  <si>
    <t>Íîìûí ñàí÷</t>
  </si>
  <si>
    <t>Ýì÷</t>
  </si>
  <si>
    <t>Öàõèëãààí÷èí</t>
  </si>
  <si>
    <t>Ìóæààí</t>
  </si>
  <si>
    <t>Ìàíàà÷, æèæ¿¿ð</t>
  </si>
  <si>
    <t>2011 îíä</t>
  </si>
  <si>
    <t>MONTHLI  BULLETIN *DORNOD AIMAG* 2012* DEC</t>
  </si>
  <si>
    <t>×îéáàëñàí  õîò
2012 îí</t>
  </si>
  <si>
    <t xml:space="preserve">                                         2012 ÎÍÛ ÎÐÎÍ ÍÓÒÃÈÉÍ ÒªÑÂÈÉÍ ÎÐËÎÃÎ</t>
  </si>
  <si>
    <t>ÄÎÐÍÎÄ ÀÉÌÃÈÉÍ 2012 ÎÍÛ  ÝÖÑÈÉÍ, ªÐ, ÀÂËÀÃÛÍ ДЭЛГЭРЭНГҮЙ МЭДЭЭ</t>
  </si>
  <si>
    <t>2012
2011</t>
  </si>
  <si>
    <t>2012 ÎÍÛ ÌÀË ÒÎÎËËÎÃÛÍ  Ä¯Í</t>
  </si>
  <si>
    <t xml:space="preserve">                 ÄÎÐÍÎÄ ÀÉÌÃÈÉÍ  2012 ÎÍÛ ÌÀË ÒÎÎËËÎÃÛÍ ÇÀÐÄÀË</t>
  </si>
  <si>
    <t>2012 ÎÍÄ ØÈÍÝÝÐ ÃÀÐÃÀÑÀÍ ÕÓÄÃÈÉÍ ÒÀÉËÀÍ</t>
  </si>
  <si>
    <t>2011 îíû ìºí ¿åä</t>
  </si>
  <si>
    <t>2012/2000</t>
  </si>
  <si>
    <t xml:space="preserve">                                          2012 ÎÍÛ ÓÐÃÀÖ ÕÓÐÀÀËÒ</t>
  </si>
  <si>
    <t>Ä/Д</t>
  </si>
  <si>
    <r>
      <t xml:space="preserve">2012
</t>
    </r>
    <r>
      <rPr>
        <sz val="12"/>
        <rFont val="Arial"/>
        <family val="2"/>
      </rPr>
      <t>2011</t>
    </r>
  </si>
  <si>
    <t>ДОРНОД АЙМАГТ 2012 ОНД ҮЙЛДЭГДСЭН ГЭМТ ХЭРГИЙН СУДАЛГАА</t>
  </si>
  <si>
    <t>2012 он</t>
  </si>
  <si>
    <t>БҮРТГЭЛТЭЙ АЖИЛГҮЙ ИРГЭНИЙ ХӨДӨЛГӨӨНИЙ 2012 ОНЫ 12 САРЫН МЭДЭЭ</t>
  </si>
  <si>
    <t>2013.01.07</t>
  </si>
  <si>
    <t>Ачит тан</t>
  </si>
  <si>
    <t>DZM-HEART</t>
  </si>
  <si>
    <t>Төрсөн эх</t>
  </si>
  <si>
    <t>D340100</t>
  </si>
  <si>
    <t>Бизнесийн менежмент</t>
  </si>
  <si>
    <t>Нягтлан бодох бүртгэл</t>
  </si>
  <si>
    <t>Багш, англи хэлний орой 2.5</t>
  </si>
  <si>
    <t>Орчуулга, Хятад хэл орой 2.5</t>
  </si>
  <si>
    <t>Íÿãòëàí áîäîõ á¿ðòãýë орой 2.5</t>
  </si>
  <si>
    <t>Багш, Áàãà àíãèéí áàãø 1.5 жил</t>
  </si>
  <si>
    <t xml:space="preserve">экстернатаар нийт </t>
  </si>
  <si>
    <t>Японы Хүүхдийг Ивээх Сан   нь:</t>
  </si>
  <si>
    <t>Зорилго</t>
  </si>
  <si>
    <t>Хугацаа</t>
  </si>
  <si>
    <t>Санхүүжүүлэгч байгууллага</t>
  </si>
  <si>
    <t>Санхүүжилт</t>
  </si>
  <si>
    <t>Нийгэмшүүлэх цирк</t>
  </si>
  <si>
    <t>Хүнд нөхцөлд амьдарч буй хүүхдүүдийг циркийн урлагаар дамжуулан нийгэмшүүлэх, төлөвшүүлэх</t>
  </si>
  <si>
    <t>Японы Нарны цирк</t>
  </si>
  <si>
    <t>Онцгой байдлын үе дэх хүүхэд хамгаалал</t>
  </si>
  <si>
    <t>Хүүхдэд халамж, хамгаалал, боловсролын үйлчилгээ үзүүлэгч төрийн байгууллага, ажилтнууд хүнд нөхцөл дэх хүүхдүүдийг онцгой байдлын өмнө, дунд болон дараа үед хамгаалах, чадавхийг сайжруулах</t>
  </si>
  <si>
    <t>2012.11.01 -2013.06</t>
  </si>
  <si>
    <t>Солонгосын хүүхдийг Ивээх сан</t>
  </si>
  <si>
    <t>“Алслагдсан хөдөөгийн эмзэг бүлгийн хүүхдүүдийн бага боловсролын үр дүнг сайжруулах нь “ төсөл</t>
  </si>
  <si>
    <t>Хөдөө орон нутгийн хамгийн эмзэг бүлгийн 5-10 насны 7500 хүүхдийн сургуулийн өмнөх болон бага боловсролын хүртээмж,чанар, үр ашгийг нэмэгдүүлэх</t>
  </si>
  <si>
    <t>2012.12.30</t>
  </si>
  <si>
    <t>Японы Нийгмийн Хөгжлийн Сан,</t>
  </si>
  <si>
    <t>Дэлхийн банк</t>
  </si>
  <si>
    <t xml:space="preserve">Хяналт үнэлгээ болон захиргаа, урсгал зардлууд  </t>
  </si>
  <si>
    <t>2012.01.01-2012.12.30</t>
  </si>
  <si>
    <t>ЯХИС</t>
  </si>
  <si>
    <t>Нийт санхүүжилт</t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</si>
  <si>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Хүүхэд бүрийг хүндлэн дээдэлдэг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</si>
  <si>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Хүүхдийг сонсож, хүүхдээс суралцдаг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</si>
  <si>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Бүх хүүхдэд итгэл найдвар, тэгш боломж олгосон</t>
    </r>
  </si>
  <si>
    <r>
      <t>·</t>
    </r>
    <r>
      <rPr>
        <sz val="7"/>
        <rFont val="Arial"/>
        <family val="2"/>
      </rPr>
      <t xml:space="preserve">         </t>
    </r>
    <r>
      <rPr>
        <sz val="10"/>
        <rFont val="Arial"/>
        <family val="2"/>
      </rPr>
      <t>Дэлхий ертөнцийг бий болгохын төлөө ажилладаг төрийн бус ашгийн бус олон улсын байгууллага.</t>
    </r>
  </si>
  <si>
    <t>1.        </t>
  </si>
  <si>
    <t>2.        </t>
  </si>
  <si>
    <t>3.        </t>
  </si>
  <si>
    <t>4.        </t>
  </si>
  <si>
    <t>5.        </t>
  </si>
  <si>
    <t>2012.09
2013.06</t>
  </si>
  <si>
    <t>Хяналт үнэлгээ, ажилтнуудын цалин, хяналт үнэлгээ</t>
  </si>
  <si>
    <t>2012.11.01
 2013.06</t>
  </si>
  <si>
    <t xml:space="preserve">2012.06.12
2012.12.30
</t>
  </si>
  <si>
    <t>МД</t>
  </si>
  <si>
    <t>Барилгын 
цахилгаанчин</t>
  </si>
  <si>
    <t>Сургуулийн нэр</t>
  </si>
  <si>
    <t>Суралцах хугацаа</t>
  </si>
  <si>
    <t>Боловсролын түвшин</t>
  </si>
  <si>
    <t>Àæèëëàã÷äààñ элссэн</t>
  </si>
  <si>
    <t>Ажилгүй иргэдээс элссэн</t>
  </si>
  <si>
    <t>Суралцагчдаас элссэн</t>
  </si>
  <si>
    <t>Нийт суралцагчид, сургалтын төлбөрийн эх үүсвэрээр</t>
  </si>
  <si>
    <t xml:space="preserve">1-3 сар </t>
  </si>
  <si>
    <t xml:space="preserve">4-6 сар </t>
  </si>
  <si>
    <t xml:space="preserve">6 сараас дээш </t>
  </si>
  <si>
    <t>Дээд</t>
  </si>
  <si>
    <t>Суурь</t>
  </si>
  <si>
    <t>Бага</t>
  </si>
  <si>
    <t>Байгууллага</t>
  </si>
  <si>
    <t xml:space="preserve">Гэрээ, захиалгаар </t>
  </si>
  <si>
    <t xml:space="preserve">Төрийн болон төсөвт </t>
  </si>
  <si>
    <t xml:space="preserve">Хувийн </t>
  </si>
  <si>
    <t>Барилгын засал
 чимэглэлч</t>
  </si>
  <si>
    <t>Барилгын 
өрөг угсрагч</t>
  </si>
  <si>
    <t>Авто замын
засварчин</t>
  </si>
  <si>
    <t>Авто машины 
засварчин</t>
  </si>
  <si>
    <t>Барилгын
 засал чимэглэлч *</t>
  </si>
  <si>
    <t>Барилгын 
өрөг угсрагч *</t>
  </si>
  <si>
    <t>Барилгын 
засал чимэглэлч Н/Х</t>
  </si>
  <si>
    <t>Барилгын 
өрөг угсрагч Н/Х</t>
  </si>
  <si>
    <t>Барилгын 
мужаан Н/Х</t>
  </si>
  <si>
    <t>Барилгын 
сантехникч Н/Х</t>
  </si>
  <si>
    <t>75</t>
  </si>
  <si>
    <t xml:space="preserve"> Êîä</t>
  </si>
  <si>
    <t xml:space="preserve">¯ç¿¿ëýëò </t>
  </si>
  <si>
    <t>ªÑÑªÍ Ä¯Í</t>
  </si>
  <si>
    <t>øèíý äàíñ</t>
  </si>
  <si>
    <t>ºññºíººð</t>
  </si>
  <si>
    <t xml:space="preserve">ÌªÍÃªÍ ÕªÐªÍÃÈÉÍ 200... îíû 1-ð ñàðûí 1-íû  ¿ëäýãäýë                                                </t>
  </si>
  <si>
    <t>ÒªËªÂËªÃªª</t>
  </si>
  <si>
    <t>ã¿éöýòãýë</t>
  </si>
  <si>
    <t xml:space="preserve">¯¿íýýñ: áàíêíû õàðèëöàõ äàíñíû ¿ëäýãäýë                                                             </t>
  </si>
  <si>
    <t xml:space="preserve">Áóñàä áàéãóóëëàãà èðãýäýýñ àâàõ àâëàãûí ýõíèé ¿ëäýãäýë                                              </t>
  </si>
  <si>
    <t xml:space="preserve">Áóñàä áàéãóóëëàãà èðãýäýýñ àâàõ ºãëºãèéí ýõíèé ¿ëäýãäýë                                             </t>
  </si>
  <si>
    <t xml:space="preserve">      Òºñâèéí ñàíõ¿¿æèëò                                                                            </t>
  </si>
  <si>
    <t xml:space="preserve">Òºñâèéí ñàíõ¿¿æèëò                                                                                  </t>
  </si>
  <si>
    <t xml:space="preserve">       Ýð¿¿ë ìýíäèéí äààòãàëûí ñàíõ¿¿æèõ                                                            </t>
  </si>
  <si>
    <t xml:space="preserve">       ¯íäñýí ¿éë àæèëëëàãààíû îðëîãîîñ                                                             </t>
  </si>
  <si>
    <t xml:space="preserve">       Òóñëàõ ¿éë àæèëëëàãààíû îðëîãîîñ                                                             </t>
  </si>
  <si>
    <t xml:space="preserve">      áóñàä îðëîãî                                                                                  </t>
  </si>
  <si>
    <t xml:space="preserve">        ¯íäñýí öàëèí                                                                                </t>
  </si>
  <si>
    <t xml:space="preserve">    Ãýðýýò àæèë÷ïûí öàëèí                                                                           </t>
  </si>
  <si>
    <t xml:space="preserve">        Òýòãýâýð, òýòãýìæèéí äààòãàëûí øèìòãýë                                                      </t>
  </si>
  <si>
    <t xml:space="preserve">        Áàéãóóëëàãà òºëºõ ÝÌÄ-èéí õóðààìæ                                                           </t>
  </si>
  <si>
    <t xml:space="preserve">        Áè÷èã õýðýã                                                                                 </t>
  </si>
  <si>
    <t xml:space="preserve">        Ãýðýë öàõèëãààí                                                                             </t>
  </si>
  <si>
    <t xml:space="preserve">        Ò¿ëø õàëààëò                                                                                </t>
  </si>
  <si>
    <t xml:space="preserve">        Òýýâýð øàòàõóóí                                                                             </t>
  </si>
  <si>
    <t xml:space="preserve">        Øóóäàí õîëáîî                                                                               </t>
  </si>
  <si>
    <t xml:space="preserve">        Öýâýð áîõèð óñ                                                                              </t>
  </si>
  <si>
    <t xml:space="preserve">        Äîòîîä àëáàí òîìèëîëò                                                                       </t>
  </si>
  <si>
    <t xml:space="preserve">         Áàãàæ  õýðýãñýë                                                                            </t>
  </si>
  <si>
    <t xml:space="preserve">        Òàâèëãà                                                                                     </t>
  </si>
  <si>
    <t xml:space="preserve">        Íîðìèéí õóâöàñ çººëºí ýäëýë                                                                 </t>
  </si>
  <si>
    <t xml:space="preserve">        Õîîë, õ¿íñ                                                                                  </t>
  </si>
  <si>
    <t xml:space="preserve">        Ýì                                                                                          </t>
  </si>
  <si>
    <t xml:space="preserve">        Á¯ÒÝÇ¿éë                                                                                    </t>
  </si>
  <si>
    <t xml:space="preserve">     Íîì õýâëýë õóäàëäàí àâàõ                                                                       </t>
  </si>
  <si>
    <t xml:space="preserve">        Òýòãýâýðò ãàðàõ íýã óäààãèéí  äýìæëýã                                                       </t>
  </si>
  <si>
    <t xml:space="preserve">        Íýã óäààãèéí áóöàëòã¿é äýìæëýã                                                              </t>
  </si>
  <si>
    <t xml:space="preserve">         Íýã óäààãèéí òýòãýìæ óðàìøóóëàë                                                            </t>
  </si>
  <si>
    <t xml:space="preserve">       Áàÿð íààäìûí  çàðäàë                                                                         </t>
  </si>
  <si>
    <t xml:space="preserve">       Òàòâàð òºëáºð õóðààìæ                                                                        </t>
  </si>
  <si>
    <t xml:space="preserve">       Òºâëºð¿¿ëºõ øèëæ¿¿ëýã                                                                        </t>
  </si>
  <si>
    <t xml:space="preserve">       Àóäèò áàòàëãàæóóëàëòûí õºëñ                                                                  </t>
  </si>
  <si>
    <t xml:space="preserve">       Òýýâðèéí õýðýãñëèéí ëààòãàë                                                                  </t>
  </si>
  <si>
    <t xml:space="preserve">       Òºðèéí ºìíººñ ã¿éöýòã¿¿ëñýí àæèë ¿éë÷èëãýý                                                   </t>
  </si>
  <si>
    <t xml:space="preserve">Òºñâèéí õóâèàðëàãäààã¿é çàðäàë                                                                      </t>
  </si>
  <si>
    <t xml:space="preserve">Ìºíãºí õºðºíãèéí 2012îíû12-ð ñàðûí 31 -íû ¿ëäýãäýë                                              </t>
  </si>
  <si>
    <t xml:space="preserve">Àâëàãûí ýöñèéí ¿ëäýãäýë                                                                             </t>
  </si>
  <si>
    <t xml:space="preserve">ªãëºãèéí ýöñèéí ¿ëäýãäýë                                                                            </t>
  </si>
  <si>
    <t xml:space="preserve">III.   ÁÀÉÃÓÓËËÀÃÛÍ ÒÎÎ                                                                             </t>
  </si>
  <si>
    <t xml:space="preserve">Óäèðäàõ àæèëòàí                                                                                     </t>
  </si>
  <si>
    <t xml:space="preserve">Ã¿éöýòãýõ àæèëòàí                                                                                   </t>
  </si>
  <si>
    <t xml:space="preserve">¯éë÷ëýõ àæèëòàí                                                                                     </t>
  </si>
  <si>
    <t>ãýðýýò àæèëòàí</t>
  </si>
  <si>
    <t xml:space="preserve">I.    ÎÐËÎÃÛÍ Ä¯Í                                                                  </t>
  </si>
  <si>
    <t xml:space="preserve">II.   ÍÈÉÒ ÇÀÐËÀÃÛÍ Ä¯Í                                                                 </t>
  </si>
  <si>
    <t xml:space="preserve">À.Óðñãàë çàðäëûí ä¿í                                                                        </t>
  </si>
  <si>
    <t xml:space="preserve">1.Áàðàà ¿éë÷èëãýýíèé çàðäàë                                                           </t>
  </si>
  <si>
    <t xml:space="preserve">  1.1 Öàëèí, õºëñ áîëîí íýìýãäýë óðàìøèë                                                   </t>
  </si>
  <si>
    <t xml:space="preserve">  1.3 Áàðàà, ¿éë÷èëãýýíèé áóñàä çàðäàë                                                  </t>
  </si>
  <si>
    <t xml:space="preserve">  1.2 Àæèë îëãîã÷îîñ íèéãìèéí äààòãàëä òºëºõ øèìòãýë                                        </t>
  </si>
  <si>
    <t xml:space="preserve">Àæèëëàãñàä á¿ãä                                                                       </t>
  </si>
  <si>
    <t>76</t>
  </si>
  <si>
    <t>Нэр</t>
  </si>
  <si>
    <t>Хүний тоо</t>
  </si>
  <si>
    <t>Дүн /мян төг/</t>
  </si>
  <si>
    <t>Нийгмийн халамжийн тэтгэвэр</t>
  </si>
  <si>
    <t>2,599,798,6</t>
  </si>
  <si>
    <t>Нийгмийн халамжийн тэтгэмж</t>
  </si>
  <si>
    <t>2,195,041,5</t>
  </si>
  <si>
    <t>Ахмад настанд үзүүлсэн тусламж, хөнгөлөлт</t>
  </si>
  <si>
    <t>215,256,2</t>
  </si>
  <si>
    <t>Хөгжлийн бэрхшээлтэй иргэдэд үзүүлсэн тусламж, хөнгөлөлт</t>
  </si>
  <si>
    <t>90,882,7</t>
  </si>
  <si>
    <t>Алдар цолтой ахмад настанд үзүүлсэн хөнгөлөлт</t>
  </si>
  <si>
    <t>59,781,5</t>
  </si>
  <si>
    <t>Олон нийтийн оролцоонд түшиглэсэн халамжийн үйлчилгээ</t>
  </si>
  <si>
    <t>40,000,0</t>
  </si>
  <si>
    <t>Хүний хөгжил санаас олгох Хишиг хувь</t>
  </si>
  <si>
    <t>19,817,315,4</t>
  </si>
  <si>
    <t>Хүүхдий мөнгө хөтөлбөр</t>
  </si>
  <si>
    <t>1,320,000,0</t>
  </si>
  <si>
    <t>Ахмадын асрамж, амралт, сувилал</t>
  </si>
  <si>
    <t>28,650,0</t>
  </si>
  <si>
    <t>Хүнс тэжээлийн хөтөлбөр</t>
  </si>
  <si>
    <t>55.000.0</t>
  </si>
  <si>
    <t>77</t>
  </si>
  <si>
    <t>Практикал даатгал</t>
  </si>
  <si>
    <t>ДҮН</t>
  </si>
  <si>
    <t>ДОРНОД АЙМГИЙН МАЛЧДЫН АХУЙ, СОЁЛЫН ЗАРИМ ҮЗҮҮЛЭЛТ</t>
  </si>
  <si>
    <t>ДОРНОД АЙМГИЙН СУМДЫН 2012 ОНД ӨӨРИЙН ХҮЧЭЭР ҮЙЛДВЭРЛЭСЭН ТЭЖЭЭЛ</t>
  </si>
  <si>
    <t>ÕÀÀ-í ТЭЖЭЭВЭР АМЬТДЫН ТООЛЛОГО</t>
  </si>
  <si>
    <t xml:space="preserve">                            2012 ОНЫ ТАРИАЛАЛТЫН МЭДЭЭ</t>
  </si>
  <si>
    <t>ÃА-аас АВСАН УРГАЦЫН МЭДЭЭ</t>
  </si>
  <si>
    <t>ÝРҮҮЛИЙГ ХАМГААЛАХ САЛБАРЫН ҮЗҮҮЛЭЛТ</t>
  </si>
  <si>
    <t>2012 ОНЫ ХҮН АМ ЗҮЙН БОЛОН ХАЛДВАРТ ӨВЧНИЙ ХАРЬЦУУЛСАН ҮЗҮҮЛЭЛТ</t>
  </si>
  <si>
    <t xml:space="preserve">                             ЭМИЙН ÑÀÍÃÈÉÍ ÒªËÁªÐÒ ¯ÉË×ÈËÃÝÝÍÈÉ ÌÝÄÝÝ</t>
  </si>
  <si>
    <t>2012 ОНД ХИЛЭЭР НЭВТРҮҮЛСЭН БАРАА</t>
  </si>
  <si>
    <r>
      <t>ХҮН АМЫН ХӨГЖИЛ, НИЙГМИЙН ХАЛАМЖИЙН АРГА ХЭМЖЭЭНД 
ЗАРЦУУЛСАН ЗАРЛАГЫН МЭДЭЭ</t>
    </r>
    <r>
      <rPr>
        <sz val="10"/>
        <rFont val="Calibri"/>
        <family val="2"/>
      </rPr>
      <t xml:space="preserve"> </t>
    </r>
  </si>
  <si>
    <t>ЯХИС –ийн ДОРНОД АЙМАГ ДАХЬ САЛБАРЫН 2012 ОНЫ ҮЙЛ АЖИЛЛАГААНЫ</t>
  </si>
  <si>
    <t>ТАЙЛАНГИЙН МЭДЭЭ</t>
  </si>
  <si>
    <t>Хөрөнгө оруулалтын чиглэлээр</t>
  </si>
  <si>
    <t>Хэрэгжсэн төслийн тоо</t>
  </si>
  <si>
    <t>Зарцуулсан хөрөнгийн хэмжээ /мян.төг/</t>
  </si>
  <si>
    <t>Бүтээгдэхүүний хэмжээ</t>
  </si>
  <si>
    <t>Үр шимийг шууд хүртэгсэд</t>
  </si>
  <si>
    <t>Ажлын байраар хангагдсан хүн</t>
  </si>
  <si>
    <t xml:space="preserve">Улирлын </t>
  </si>
  <si>
    <t>Түр</t>
  </si>
  <si>
    <t>Эм</t>
  </si>
  <si>
    <t>Ядуу</t>
  </si>
  <si>
    <t>Эмнэлгийн тоо</t>
  </si>
  <si>
    <t>Шинээр барьсан/ өргөт</t>
  </si>
  <si>
    <t>Тохижуулсан</t>
  </si>
  <si>
    <t>Засварласан</t>
  </si>
  <si>
    <t>Эмнэлгийн оношлогоо багаж, т/т-н тоо</t>
  </si>
  <si>
    <t>ЭХО аппарат</t>
  </si>
  <si>
    <t>Ерөнхий боловсролын сургуулийн тоо</t>
  </si>
  <si>
    <t>ЕБС-ийн дотуур байрны тоо</t>
  </si>
  <si>
    <t>Соёлын төвийн тоо</t>
  </si>
  <si>
    <t>Цэцэрлэгийн тоо</t>
  </si>
  <si>
    <t>Нийтийн халуун усны цэгийн тоо</t>
  </si>
  <si>
    <t>Ундны усны худгийн тоо</t>
  </si>
  <si>
    <t>Бусад /далан шуудуу, байгаль хамгаалах гэх мэт/</t>
  </si>
  <si>
    <t>"ТОГТВОРТОЙ АМЬЖИРГАА-II" ТӨСЛӨӨС ЭРҮҮЛ МЭНД,БОЛОВСРОЛ, ДЭД БҮТЦИЙГ САЙЖРУУЛАХ 
ЧИГЛЭЛЭЭР ОРОН НУТАГТ ХИЙСЭН ХӨРӨНГӨ ОРУУЛАЛТЫН  2012 ОНЫ МЭДЭЭ</t>
  </si>
  <si>
    <t xml:space="preserve">Тоо хэмжээ </t>
  </si>
  <si>
    <t>Өвс тэжээлийн агуулахын тоо</t>
  </si>
  <si>
    <t>Шинээр барьсан</t>
  </si>
  <si>
    <t>Сэргээн засварласан</t>
  </si>
  <si>
    <t>Энгийн худгийн тоо</t>
  </si>
  <si>
    <t>Хашиж, хамгаалсан бэлчээр, га</t>
  </si>
  <si>
    <t>Бэлтгэсэн өвс, хадлан, тонн</t>
  </si>
  <si>
    <t>Бэлтгэсэн малын тэжээл, тонн</t>
  </si>
  <si>
    <t>Ус хуримтлуулах далан, шуудуу, м3</t>
  </si>
  <si>
    <t>Хашиж, хамгаалсан булаг, шандын тоо</t>
  </si>
  <si>
    <t>Шинээр хашиж хамгаалсан</t>
  </si>
  <si>
    <t>Өмнөх он</t>
  </si>
  <si>
    <t>Тайлант он</t>
  </si>
  <si>
    <t>Өөрчлөлт</t>
  </si>
  <si>
    <t>¯íýëãýý</t>
  </si>
  <si>
    <t>оноо</t>
  </si>
  <si>
    <t>Малын тоо /мян. Тол/</t>
  </si>
  <si>
    <t>1,147,6</t>
  </si>
  <si>
    <t>1,206,1</t>
  </si>
  <si>
    <t>2011 онтой харьцуулахад 4,5 хувиар өссөн</t>
  </si>
  <si>
    <t>Тариалсан талбай /га/</t>
  </si>
  <si>
    <t xml:space="preserve">18399,2 </t>
  </si>
  <si>
    <t>82,8 хувиар өссөн</t>
  </si>
  <si>
    <t>80,5</t>
  </si>
  <si>
    <t>Бэлтгэсэн уринш /га/</t>
  </si>
  <si>
    <t>77,6 хувиар өссөн.</t>
  </si>
  <si>
    <t>Хураан авсан ургацын хэмжээ /тн/</t>
  </si>
  <si>
    <t>9485,9</t>
  </si>
  <si>
    <t>22432,5</t>
  </si>
  <si>
    <t>136,4 хувиар өссөн.</t>
  </si>
  <si>
    <t>61,3</t>
  </si>
  <si>
    <t>Үүнээ: үр тариа</t>
  </si>
  <si>
    <t>176,3 хувиар өссөн.</t>
  </si>
  <si>
    <t>71,42</t>
  </si>
  <si>
    <t>Хүнсний ногоо</t>
  </si>
  <si>
    <t>1521,9</t>
  </si>
  <si>
    <t>738,5</t>
  </si>
  <si>
    <t>51,4 хувиар буурсан.</t>
  </si>
  <si>
    <t>37,76</t>
  </si>
  <si>
    <t>Төмс</t>
  </si>
  <si>
    <t>4,9 хувиар өссөн</t>
  </si>
  <si>
    <t>74,56</t>
  </si>
  <si>
    <t>Нөөцөлсөн үр /тн/</t>
  </si>
  <si>
    <t>9,5 хувиар буурсан</t>
  </si>
  <si>
    <t>90,5</t>
  </si>
  <si>
    <t>Бэлтгэсэн хадлан /тн/</t>
  </si>
  <si>
    <t>0,78 хувиар буурсан.</t>
  </si>
  <si>
    <t>89,0</t>
  </si>
  <si>
    <t>Цаг үеийн мэдээ, судалгаа ирүүлсэн байдал</t>
  </si>
  <si>
    <t>Шинээр гаргасан болон сэргээн засварласан уст цэгийн тоо</t>
  </si>
  <si>
    <t>66,6 хувиар өссөн.</t>
  </si>
  <si>
    <t>Нийт малд хээлтэгч малын эзлэх хувийн жин</t>
  </si>
  <si>
    <t>8.8 õóâèàð ºññºí</t>
  </si>
  <si>
    <t>100,0</t>
  </si>
  <si>
    <t>Мал сүргийг эрүүлжүүлэх урдчилан сэргийлэх арга хэмжээ /õóâü/</t>
  </si>
  <si>
    <t>2011 îíòîé õàðüöóóëàõàä 8.5 õóâèàð ºññºí.</t>
  </si>
  <si>
    <t>96,2</t>
  </si>
  <si>
    <t>Үзүүлэлтийн дундаж хувь</t>
  </si>
  <si>
    <t>88,03</t>
  </si>
  <si>
    <t>ХҮНС, ХӨДӨӨ АЖ АХУЙ, ЖИЖИГ ДУНД ҮЙЛДВЭРИЙН ГАЗРЫН 2012 ОНЫ ҮЙЛ АЖИЛЛАГААНЫ 
ЭДИЙН ЗАСАГ, НИЙГМИЙН ҮЗҮҮЛЭЛТ</t>
  </si>
  <si>
    <t>ХХААЖДҮГ-ын эдийн засаг, нийгмийн хөгжлийн үзүүлэлт</t>
  </si>
  <si>
    <t>2013.01.08</t>
  </si>
  <si>
    <t>Óðàìøóóëàë</t>
  </si>
  <si>
    <t>2.2012 ÎÍÄ ÇÀÑÂÀÐËÀÑÀÍ ÕÓÄÃÈÉÍ ÒÀÉËÀÍ</t>
  </si>
  <si>
    <t xml:space="preserve">   Òàðüñàí</t>
  </si>
  <si>
    <t>õýìæèõ 
íýãæ</t>
  </si>
  <si>
    <t>Òîî
õýìæýý</t>
  </si>
  <si>
    <t>¿íý 
/ ìÿí.äîëë/</t>
  </si>
  <si>
    <t>Ýêñïîðò: Á¿ãä</t>
  </si>
  <si>
    <t xml:space="preserve">õ </t>
  </si>
  <si>
    <t>1.Àäóó</t>
  </si>
  <si>
    <t>2.Òºìðèéí õ¿äýð</t>
  </si>
  <si>
    <t>3.Õàð òóãàëãàíû áàÿæìàë</t>
  </si>
  <si>
    <t>4.Öàéðûí áàÿæìàë</t>
  </si>
  <si>
    <t>5.Òýæýýëèéí ºâñ</t>
  </si>
  <si>
    <t>6.Õàéëóóð æîíø</t>
  </si>
  <si>
    <t>7.Çàãàñ</t>
  </si>
  <si>
    <t>8.Õ¿ðýí í¿¿ðñ</t>
  </si>
  <si>
    <t>9.áóñàä</t>
  </si>
  <si>
    <t>Èìïîðò Á¿ãä</t>
  </si>
  <si>
    <t>ìÿí äîëë</t>
  </si>
  <si>
    <t xml:space="preserve">1.Áåíçèí </t>
  </si>
  <si>
    <t>2.Äèçåëü ò¿ëø</t>
  </si>
  <si>
    <t>3.Ìîòîöèêë</t>
  </si>
  <si>
    <t>ø</t>
  </si>
  <si>
    <t>4.Óëààí áóóäàé</t>
  </si>
  <si>
    <t>5.Àäóó</t>
  </si>
  <si>
    <t>6.Àâòîìàøèí</t>
  </si>
  <si>
    <t>7.Öàõèëãààí ýð÷èì õ¿÷</t>
  </si>
  <si>
    <t>ìÿí.êâ
öàã</t>
  </si>
  <si>
    <t>8.Òîîñãî</t>
  </si>
  <si>
    <t>9.Öåìåíò</t>
  </si>
  <si>
    <t>10.Öàõèëãààí áàðàà</t>
  </si>
  <si>
    <t>11.Áàãàæ òîíîã òºõººðºìæ</t>
  </si>
  <si>
    <t>12.Áàðèëãûí ìàòåðèàë</t>
  </si>
  <si>
    <t>13.Õ¿íñíèé íîãîî</t>
  </si>
  <si>
    <t>À÷àà ÿâóóëàëò</t>
  </si>
  <si>
    <t>Îëîí óëñ</t>
  </si>
  <si>
    <t>Îðîí íóòàã</t>
  </si>
  <si>
    <t>âàãîíû òîî</t>
  </si>
  <si>
    <t>Õ/í</t>
  </si>
  <si>
    <t>âàãîí</t>
  </si>
  <si>
    <t>à÷àà</t>
  </si>
  <si>
    <t>öàéð</t>
  </si>
  <si>
    <t xml:space="preserve">            âàãîí</t>
  </si>
  <si>
    <t xml:space="preserve">            à÷àà</t>
  </si>
  <si>
    <t>À÷àà îðóóëàëò</t>
  </si>
  <si>
    <t>íåôòü</t>
  </si>
  <si>
    <t>áóäàà</t>
  </si>
  <si>
    <t>Çîð÷èã÷</t>
  </si>
  <si>
    <t>îðëîãî  ìÿí.òºã</t>
  </si>
  <si>
    <t>Òýýøèéí îðëîãî</t>
  </si>
  <si>
    <t>òýýø òí</t>
  </si>
  <si>
    <t>îðëîãî</t>
  </si>
  <si>
    <t>À÷àà òýýâðèéí îðëîãî</t>
  </si>
  <si>
    <t>Á¿õ îðëîãî</t>
  </si>
  <si>
    <t>ÁÀßÍÒ¯ÌÝÍ ÒÀÑÃÈÉÍ À×ÀÀ, ÇÎÐ×ÈÃ× ÒÝÝÂÐÈÉÍ ÕÝÑÃÈÉÍ ¯Ç¯¯ËÝËÒ</t>
  </si>
  <si>
    <t>õ¿äýð</t>
  </si>
  <si>
    <t>ðàïñ</t>
  </si>
  <si>
    <t>Áàÿíò¿ìýí òàñãèéí à÷àà, çîð÷èã÷ òýýâðèéí õýñãèéí ìýäýý</t>
  </si>
  <si>
    <r>
      <rPr>
        <u/>
        <sz val="10"/>
        <rFont val="Arial"/>
        <family val="2"/>
      </rPr>
      <t>2012</t>
    </r>
    <r>
      <rPr>
        <sz val="10"/>
        <rFont val="Arial"/>
        <family val="2"/>
      </rPr>
      <t xml:space="preserve">
2000</t>
    </r>
  </si>
  <si>
    <r>
      <rPr>
        <u/>
        <sz val="10"/>
        <rFont val="Arial"/>
        <family val="2"/>
      </rPr>
      <t>2012</t>
    </r>
    <r>
      <rPr>
        <sz val="10"/>
        <rFont val="Arial"/>
        <family val="2"/>
      </rPr>
      <t xml:space="preserve">
2011</t>
    </r>
  </si>
  <si>
    <t>Íèéò ìàëààñ àìèíû ìàë</t>
  </si>
  <si>
    <t>2012.11.05</t>
  </si>
  <si>
    <t>ÁË</t>
  </si>
  <si>
    <t>×Õ</t>
  </si>
  <si>
    <t>НИЙГМИЙН ДААТГАЛЫН САНГААС ТЭТГЭВЭР ТЭТГЭМЖ ОЛГОСОН ХӨРӨНГИЙН ЗАРЦУУЛАЛТ</t>
  </si>
  <si>
    <t>/мян.төг/</t>
  </si>
  <si>
    <t>Сумдын нэрс</t>
  </si>
  <si>
    <t>Тэтгэвэр тэтгэмжийн төрөл</t>
  </si>
  <si>
    <t xml:space="preserve"> Тэтгэврийн даатгалын сангаас тэтгэвэр авагч
/хүний тоо/</t>
  </si>
  <si>
    <t>Олгосон дүн /мян.төг/</t>
  </si>
  <si>
    <t>ХЧТА -ны тэтгэмж
 /хүний тоо/</t>
  </si>
  <si>
    <t>Жирэмсэн амаржсаны тэтгэмж /хүний тоо/</t>
  </si>
  <si>
    <t>Оршуулгын тэтгэмж /хүний тоо/</t>
  </si>
  <si>
    <t>ҮОМШӨ-ний тэтгэвэр, тэтгэмж /хүний тоо/</t>
  </si>
  <si>
    <t>Ажилгүйдлийн тэтгэмж /хүний тоо/</t>
  </si>
  <si>
    <t>Баянуул</t>
  </si>
  <si>
    <t>Цагаановоо</t>
  </si>
  <si>
    <t xml:space="preserve">Чойбалсан </t>
  </si>
  <si>
    <t xml:space="preserve"> НИЙТ ДҮН</t>
  </si>
  <si>
    <t>Íèéãìèéí äààòãàëûí õýëòñèéí ìýäýý</t>
  </si>
  <si>
    <t>ñóóðèí õ¿í àì, ºðõèéí òîî ñóìäààð</t>
  </si>
  <si>
    <t>Õ¿í àìûí òîî, õîò, õºäººãººð</t>
  </si>
  <si>
    <t>ªðõ, õ¿í àìûí íèéãìèéí çàðèì ¿ç¿¿ëýëò¿¿ä</t>
  </si>
  <si>
    <t>Òàõèð äóòóó õ¿íèé òîî</t>
  </si>
  <si>
    <t>12-20</t>
  </si>
  <si>
    <t>Õ¿í àìûí òîî, õºäºëìºðèéí íàñíû õ¿í àì /íàñíû á¿òýö, ñóìààð/</t>
  </si>
  <si>
    <t>2012 îíû
ýõíèé
ìàë</t>
  </si>
  <si>
    <t>Õóäàã øèíýýð ãàðãàõàä ò¿ð àæèëëàñàí îðîí íóòãèéí èðãýäèéí òîî õ¿í ºäðººð</t>
  </si>
  <si>
    <t>10000-д 
ноогдох</t>
  </si>
  <si>
    <t>Бүгд дүн</t>
  </si>
  <si>
    <t xml:space="preserve">ДОРНОД ДЭЭД СУРГУУЛИЙН ÑÓÐÀËÖÀÃ×ÈÄ </t>
  </si>
  <si>
    <t>МСҮТ 2012 - 2013 ОНЫ ХИЧЭЭЛИЙН ЖИЛИЙН МЭРГЭЖЛИЙН СУРГАЛТАД СУРАЛЦАГЧДЫН ТОО</t>
  </si>
  <si>
    <t>"ТОГТВОРТОЙ АМЬЖИРГАА-II" ТӨСЛӨӨС БЭЛЧЭЭРИЙН МАЛ АЖ АХУЙН ЭРСДЭЛИЙГ БУУРУУЛАХАД
 ЗАРЦУУЛСАН ХӨРӨНГӨ, ҮР ДҮНГИЙН ТАЙЛАН</t>
  </si>
  <si>
    <r>
      <rPr>
        <sz val="10"/>
        <color indexed="8"/>
        <rFont val="Arial"/>
        <family val="2"/>
      </rPr>
      <t>МАЛЫН ИНДЕКСЖҮҮЛСЭН ДААТГАЛ ТӨСЛИЙН ХЭРЭГЖИЛТ 2012 ОН  /сумаар/</t>
    </r>
  </si>
  <si>
    <t>Òàðèàëàí</t>
  </si>
  <si>
    <t>Таримал тэжээл</t>
  </si>
  <si>
    <t>ýðõýëäýã</t>
  </si>
  <si>
    <t xml:space="preserve">Ãàð </t>
  </si>
  <si>
    <t xml:space="preserve">Òºìñ </t>
  </si>
  <si>
    <t>Ëàé</t>
  </si>
  <si>
    <t>ºðõ</t>
  </si>
  <si>
    <t>òýæýýë</t>
  </si>
  <si>
    <t>õ/íîãîîíû</t>
  </si>
  <si>
    <t>Áàÿíтүмэн</t>
  </si>
  <si>
    <t>Радио</t>
  </si>
  <si>
    <t>Гар утас</t>
  </si>
  <si>
    <t>Гар аргаар хèéñýí
ýñãèé ì</t>
  </si>
  <si>
    <t>Нàðíû</t>
  </si>
  <si>
    <t>Сàëõèíû</t>
  </si>
  <si>
    <t>Төвлөрсөн систем</t>
  </si>
  <si>
    <t>Бóñàä</t>
  </si>
  <si>
    <t>Ä¿í</t>
  </si>
  <si>
    <t>Сум/дүүрэг</t>
  </si>
  <si>
    <t>Трактор</t>
  </si>
  <si>
    <t>Трактор /Дугуйт/</t>
  </si>
  <si>
    <t>Үр тарианы комбайн</t>
  </si>
  <si>
    <t>Төмсний комбайн</t>
  </si>
  <si>
    <t>Даршны комбайн</t>
  </si>
  <si>
    <t>Анжис*</t>
  </si>
  <si>
    <t>Тариа үрлэгч*</t>
  </si>
  <si>
    <t>Ногоо үрлэгч*</t>
  </si>
  <si>
    <t>Төмс суулгагч*</t>
  </si>
  <si>
    <t>Борной*</t>
  </si>
  <si>
    <t>Бул*</t>
  </si>
  <si>
    <t>Сийрүүлэгч*</t>
  </si>
  <si>
    <t>Сэндлэгч*</t>
  </si>
  <si>
    <t>Морин хадуур</t>
  </si>
  <si>
    <t>Ачааны авто машин</t>
  </si>
  <si>
    <t>Суудлын авто машин</t>
  </si>
  <si>
    <t>Бусад төрлийн авто машин</t>
  </si>
  <si>
    <t>Мотоцикл</t>
  </si>
  <si>
    <t>Цахилгаан станц*</t>
  </si>
  <si>
    <t>Үнээний саалтуур*</t>
  </si>
  <si>
    <t>Хонь хяргагч*</t>
  </si>
  <si>
    <t>Сепаратор (цөцгий ялгагч)</t>
  </si>
  <si>
    <t xml:space="preserve">Хэрлэн </t>
  </si>
  <si>
    <t xml:space="preserve">Баянтүмэн </t>
  </si>
  <si>
    <t xml:space="preserve">Баян-Уул </t>
  </si>
  <si>
    <t xml:space="preserve">Булган </t>
  </si>
  <si>
    <t xml:space="preserve">Гурванзагал </t>
  </si>
  <si>
    <t xml:space="preserve">Дашбалбар </t>
  </si>
  <si>
    <t xml:space="preserve">Халхгол </t>
  </si>
  <si>
    <t xml:space="preserve">Хөлөнбуйр </t>
  </si>
  <si>
    <t xml:space="preserve">Цагаан-Овоо </t>
  </si>
  <si>
    <t>Аймгийн дүн</t>
  </si>
  <si>
    <t>2011 îí 11.04</t>
  </si>
  <si>
    <t xml:space="preserve">2012 îíû ýõíèé õýýëòýã÷ </t>
  </si>
  <si>
    <t>2011 оны хээлтэгч</t>
  </si>
  <si>
    <t>Сансрын 
антенн</t>
  </si>
  <si>
    <t>Оёдлын 
машин</t>
  </si>
  <si>
    <t>¯íäñýí 
ýõ</t>
  </si>
  <si>
    <t>Бороожуулагч</t>
  </si>
  <si>
    <t>12.3   ÑÀÍÕYYÃÈÉÍ YÉË×ÈËÃÝÝ</t>
  </si>
  <si>
    <t>12.2   ÕÓÂÜ ÕYÍÈÉ ÝÄ ÇYÉË, ÕÝÐÝÃËÝË</t>
  </si>
  <si>
    <t>12.1   ÕÓÂÜ ÕYÍÄ ÕÀÍÄÑÀÍ YÉË×ÈËÃÝÝ</t>
  </si>
  <si>
    <t>12.    ÁÓÑÀÄ ÁÀÐÀÀ, YÉË×ÈËÃÝÝ</t>
  </si>
  <si>
    <t>11.2   ÇÎ×ÈÄ ÁÓÓÄÀË ÄÎÒÓÓÐ ÁÀÉÐÍÛ YÉË×ÈËÃÝÝ</t>
  </si>
  <si>
    <t>11.1   ÍÈÉÒÈÉÍ ÕÎÎËÍÛ YÉË×ÈËÃÝÝ</t>
  </si>
  <si>
    <t>11.    ÇÎ×ÈÄ ÁÓÓÄÀË, ÍÈÉÒÈÉÍ ÕÎÎË, ÄÎÒÓÓÐ ÁÀÉÐÍÛ YÉË×ÈËÃÝÝ</t>
  </si>
  <si>
    <t>10.1   ÁÎËÎÂÑÐÎËÛÍ YÉË×ÈËÃÝÝ</t>
  </si>
  <si>
    <t>10.    ÁÎËÎÂÑÐÎËÛÍ YÉË×ÈËÃÝÝ</t>
  </si>
  <si>
    <t>09.3   ÍÎÌ, ÑÎÍÈÍ, ÁÈ×ÃÈÉÍ ÕÝÐÝÃÑÝË</t>
  </si>
  <si>
    <t>09.2   ×ªËªªÒ ÖÀÃ, ÑÎ¨ËÛÍ YÉË×ÈËÃÝÝ</t>
  </si>
  <si>
    <t>09.1   ÄÓÓ, ÄYÐÑ, ÃÝÐÝË ÇÓÐÀÃ, ÌÝÄÝÝËËÈÉÃ ÁÎËÎÂÑÐÓÓËÀÕ ÒÎÍÎÃ ÒªÕªªÐªÌÆ</t>
  </si>
  <si>
    <t>09.    ÀÌÐÀËÒ, ×ªËªªÒ ÖÀÃ, ÑÎ¨ËÛÍ ÁÀÐÀÀ, YÉË×ÈËÃÝÝ</t>
  </si>
  <si>
    <t>08.1   ÕÎËÁÎÎÍÛ YÉË×ÈËÃÝÝ, ØÓÓÄÀÍÃÈÉÍ YÉË×ÈËÃÝÝ</t>
  </si>
  <si>
    <t>08.    ÕÎËÁÎÎÍÛ ÕÝÐÝÃÑÝË, ØÓÓÄÀÍÃÈÉÍ YÉË×ÈËÃÝÝ</t>
  </si>
  <si>
    <t>07.3  ÒÝÝÂÐÈÉÍ YÉË×ÈËÃÝÝ</t>
  </si>
  <si>
    <t>07.2  ÕÓÂÈÉÍ ÒÝÝÂÐÈÉÍ ÕÝÐÝÃÑËÈÉÍ ÇÀÑÂÀÐ, YÉË×ÈËÃÝÝ</t>
  </si>
  <si>
    <t>07.1  ÒÝÝÂÐÈÉÍ ÕÝÐÝÃÑËÈÉÍ ÕÓÄÀËÄÀÍ ÀÂÀËÒ</t>
  </si>
  <si>
    <t>07.    ÒÝÝÂÝÐ</t>
  </si>
  <si>
    <t>06.3  ÝÌÍÝËÝÃÒ ÕÝÂÒÝÆ YÇYYËÑÝÍ YÉË×ÈËÃÝÝ</t>
  </si>
  <si>
    <t>06.2  ÀÌÁÓËÒÎÐÛÍ YÉË×ÈËÃÝÝ</t>
  </si>
  <si>
    <t>06.1  ÝÌ, ÒÀÐÈÀ, ÝÌÍÝËÃÈÉÍ ÕÝÐÝÃÑÝË</t>
  </si>
  <si>
    <t>06.    ÝÌ, ÒÀÐÈÀ, ÝÌÍÝËÃÈÉÍ YÉË×ÈËÃÝÝ</t>
  </si>
  <si>
    <t>05.6  ÃÝÐ ÀÕÓÉÍ ÖÝÂÝÐËÝÃÝÝÍÈÉ ÁÎËÎÍ ÁÓÑÀÄ ÆÈÆÈÃ ÁÀÐÀÀ, ÃÝÐÈÉÍ YÉË×ÈËÃÝÝ</t>
  </si>
  <si>
    <t>05.5  ÃÝÐ ÀÕÓÉ, ÖÝÖÝÐËÝÃÈÉÍ ÇÎÐÈÓËÀËÒÒÀÉ ÕªÄªËÌªÐÈÉÍ ÁÀÃÀÆ ÕÝÐÝÃÑÝË</t>
  </si>
  <si>
    <t>05.4  ÃÝÐ ÀÕÓÉÍ ØÈËÝÍ ÝÄËÝË, ÑÀÂ ÑÓÓËÃÀ</t>
  </si>
  <si>
    <t>05.3  ÃÝÐ ÀÕÓÉÍ ÖÀÕÈËÃÀÀÍ ÁÀÐÀÀ</t>
  </si>
  <si>
    <t>05.2  ÃÝÐ ÀÕÓÉÍ Î¨ÌÎË, ÍÝÕÌÝË ÝÄËÝË</t>
  </si>
  <si>
    <t>05.1  ÃÝÐ ÀÕÓÉÍ ÒÀÂÈËÃÀ, ÕÝÐÝÃÑÝË, ÕÈÂÑ ÁÎËÎÍ ØÀËÍÛ ÁÓÑÀÄ ÄÝÂÑÃÝÐ</t>
  </si>
  <si>
    <t>05.    ÃÝÐ ÀÕÓÉÍ ÒÀÂÈËÃÀ, ÃÝÐ ÀÕÓÉÍ ÁÀÐÀÀ</t>
  </si>
  <si>
    <t>04.4  ÖÀÕÈËÃÀÀÍ, ÕÈÉÍ ÁÎËÎÍ ÁÓÑÀÄ ÒYËØ</t>
  </si>
  <si>
    <t>04.3  ÓÑÀÍ ÕÀÍÃÀÌÆ ÁÎËÎÍ ÎÐÎÍ ÑÓÓÖÍÛ ÁÓÑÀÄ YÉË×ÈËÃÝÝ</t>
  </si>
  <si>
    <t>04.2  ÎÐÎÍ ÑÓÓÖÍÛ ÒÅÕÍÈÊÈÉÍ ÁÎËÎÍ ÇÀÑÂÀÐÛÍ YÉË×ÈËÃÝÝ</t>
  </si>
  <si>
    <t>04.1  ОРОН СУУЦНЫ БОДИТ ТYРЭЭС</t>
  </si>
  <si>
    <t>04.    ÎÐÎÍ ÑÓÓÖ, ÓÑ, ÖÀÕÈËÃÀÀÍ, ÕÈÉÍ ÁÎËÎÍ ÁÓÑÀÄ ÒYËØ</t>
  </si>
  <si>
    <t>03.2  ÃÓÒÀË</t>
  </si>
  <si>
    <t>03.1.3  ÆÈÆÈÃ ÝÄËÝË, ÕÝÐÝÃÑÝË</t>
  </si>
  <si>
    <t>03.1.2  ÁYÕ ÒªÐËÈÉÍ ÕÓÂÖÀÑ</t>
  </si>
  <si>
    <t>03.1.1  ÕªÂªÍ, ÁªÑ ÁÀÐÀÀ</t>
  </si>
  <si>
    <t>03.1   ÕÓÂÖÀÑ, ÁªÑ ÁÀÐÀÀ</t>
  </si>
  <si>
    <t>03.    ÕÓÂÖÀÑ, ÁªÑ ÁÀÐÀÀ, ÃÓÒÀË</t>
  </si>
  <si>
    <t>02.2 ÒÀÌÕÈ</t>
  </si>
  <si>
    <t>02.1.3  ШАР АЙРАГ</t>
  </si>
  <si>
    <t>02.1.1  АРХИ, СПИРТ</t>
  </si>
  <si>
    <t>02.1 ÑÎÃÒÓÓÐÓÓËÀÕ ÓÍÄÀÀ</t>
  </si>
  <si>
    <t>02.   ÑÎÃÒÓÓÐÓÓËÀÕ ÓÍÄÀÀ, ÒÀÌÕÈ, ÌÀÍÑÓÓÐÓÓËÀÕ ÁÎÄÈÑ</t>
  </si>
  <si>
    <t>01.2.2  РАШААН УС, УНДАА, ЖИМСНИЙ БОЛОН НОГООНЫ ШYYС</t>
  </si>
  <si>
    <t>01.2.1  БYХ ТӨРЛИЙН КОФЕ, ЦАЙ, КАКАО</t>
  </si>
  <si>
    <t>01.2 ÑÎÃÒÓÓÐÓÓËÀÕ ÁÓÑ ÓÍÄÀÀ</t>
  </si>
  <si>
    <t>01.1.9  ÕYÍÑÍÈÉ ÁÓÑÀÄ ÁYÒÝÝÃÄÝÕYYÍ</t>
  </si>
  <si>
    <t>01.1.8  ÑÀÀÕÀÐ, ÆÈÌÑÍÈÉ ×ÀÍÀÌÀË, ÇªÃÈÉÍ ÁÀË, ×ÈÕÝÐ, ØÎÊÎËÀÄ</t>
  </si>
  <si>
    <t>01.1.7  ÕYÍÑÍÈÉ ÍÎÃÎÎ</t>
  </si>
  <si>
    <t>01.1.6  ÆÈÌÑ, ÆÈÌÑÃÝÍÝ</t>
  </si>
  <si>
    <t>01.1.5  ÒªÐªË ÁYÐÈÉÍ ªªÕ, ÒÎÑ</t>
  </si>
  <si>
    <t>01.1.4  ÑYY, ÑYYÍ ÁYÒÝÝÃÄÝÕYYÍ, ªÍÄªÃ</t>
  </si>
  <si>
    <t>01.1.2  ÌÀÕ, ÌÀÕÀÍ ÁYÒÝÝÃÄÝÕYYÍ</t>
  </si>
  <si>
    <t>01.1.1  ÒÀËÕ, ÃÓÐÈË, ÁÓÄÀÀ</t>
  </si>
  <si>
    <t>01.1 ÕYÍÑÍÈÉ ÁÀÐÀÀ</t>
  </si>
  <si>
    <t>01.   ÕYÍÑÍÈÉ ÁÀÐÀÀ, ÑÎÃÒÓÓÐÓÓËÀÕ ÁÓÑ ÓÍÄÀÀ</t>
  </si>
  <si>
    <t>ÅÐªÍÕÈÉ ÈÍÄÅÊÑ</t>
  </si>
  <si>
    <t>2011-01</t>
  </si>
  <si>
    <t>2011-12</t>
  </si>
  <si>
    <t>2011-02</t>
  </si>
  <si>
    <t>2012-01</t>
  </si>
  <si>
    <t>2012-02</t>
  </si>
  <si>
    <t>2011-03</t>
  </si>
  <si>
    <t>2012-03</t>
  </si>
  <si>
    <t>2011-04</t>
  </si>
  <si>
    <t>2012-04</t>
  </si>
  <si>
    <t>2011-05</t>
  </si>
  <si>
    <t>2012-05</t>
  </si>
  <si>
    <t>2011-06</t>
  </si>
  <si>
    <t>2012-06</t>
  </si>
  <si>
    <t>2011-07</t>
  </si>
  <si>
    <t>2012-07</t>
  </si>
  <si>
    <t>2011-08</t>
  </si>
  <si>
    <t>2012-08</t>
  </si>
  <si>
    <t>2011-09</t>
  </si>
  <si>
    <t>2012-09</t>
  </si>
  <si>
    <t>2011-10</t>
  </si>
  <si>
    <t>2012-10</t>
  </si>
  <si>
    <t>2011-11</t>
  </si>
  <si>
    <t>2012-11</t>
  </si>
  <si>
    <t>2010-12</t>
  </si>
  <si>
    <t>2012-12</t>
  </si>
  <si>
    <t>Áàðààíû á¿ëãýýð</t>
  </si>
  <si>
    <t>2012 îíû 12 ñàð</t>
  </si>
  <si>
    <t>ÄÎÐÍÎÄ ÀÉÌÃÈÉÍ ÕÝÐÝÃËÝÝÍÈÉ ¯ÍÈÉÍ ÈÍÄÅÊÑ</t>
  </si>
  <si>
    <r>
      <t xml:space="preserve">Банкны үйлчилгээний хөлс,  </t>
    </r>
    <r>
      <rPr>
        <sz val="10"/>
        <color indexed="10"/>
        <rFont val="Arial"/>
        <family val="2"/>
      </rPr>
      <t>регистрийн дугаараар мөнгөн гуйвуулга хийхэд авах шимтгэл, ХААН банк, хот хооронд</t>
    </r>
  </si>
  <si>
    <t>12.3.1 САНХYYГИЙН БАЙГУУЛЛАГЫН ШУУД БУС YЙЛЧИЛГЭЭ</t>
  </si>
  <si>
    <t>12.3   САНХYYГИЙН YЙЛЧИЛГЭЭ</t>
  </si>
  <si>
    <r>
      <t xml:space="preserve">Сурагчийн цүнх, </t>
    </r>
    <r>
      <rPr>
        <sz val="10"/>
        <color indexed="10"/>
        <rFont val="Arial"/>
        <family val="2"/>
      </rPr>
      <t>охидын, үүрдэг, DisneyLand-ийн киноны баатруудын зурагтай, урдаа нэг, хажуудаа кармантай, БНХАУ</t>
    </r>
  </si>
  <si>
    <t>12.2.2 ХУВЬ ХYНИЙ БУСАД ЭД ЗYЙЛС</t>
  </si>
  <si>
    <t xml:space="preserve">Монетон áºãæ, цагираг, 2.5гр,  586 ñîðüöòîé, дотоодын </t>
  </si>
  <si>
    <r>
      <t xml:space="preserve">Мөнгөн аяга, </t>
    </r>
    <r>
      <rPr>
        <sz val="10"/>
        <color indexed="10"/>
        <rFont val="Arial"/>
        <family val="2"/>
      </rPr>
      <t>хээгүй, 6-гийн,  дунд гарын, 15.8-16 см диаметртэй</t>
    </r>
  </si>
  <si>
    <t>12.2.1 YНЭТ ЭДЛЭЛ, ТӨРӨЛ БYРИЙН ЦАГ</t>
  </si>
  <si>
    <t>12.2   ХУВЬ ХYНИЙ ЭД ЗYЙЛ, ХЭРЭГЛЭЛ</t>
  </si>
  <si>
    <t>Ýìýãòýé õ¿íèé àðèóí öýâðèéí õýðýãëýë, KOTEX, боодол, дотроо 10 ø, БНСУ</t>
  </si>
  <si>
    <r>
      <t xml:space="preserve">Ариун цэврийн цаас, </t>
    </r>
    <r>
      <rPr>
        <sz val="10"/>
        <color indexed="10"/>
        <rFont val="Arial"/>
        <family val="2"/>
      </rPr>
      <t>"Обухов",</t>
    </r>
    <r>
      <rPr>
        <sz val="10"/>
        <color indexed="8"/>
        <rFont val="Arial"/>
        <family val="2"/>
      </rPr>
      <t xml:space="preserve"> боодол, 70 м, ОХУ</t>
    </r>
  </si>
  <si>
    <r>
      <t>Шүдний оо,</t>
    </r>
    <r>
      <rPr>
        <sz val="10"/>
        <color indexed="10"/>
        <rFont val="Arial"/>
        <family val="2"/>
      </rPr>
      <t xml:space="preserve"> "2080", 130 гр, цэнхэр өнгийн хайрцагтай </t>
    </r>
  </si>
  <si>
    <r>
      <t xml:space="preserve">Yсний шампунь, Clear, </t>
    </r>
    <r>
      <rPr>
        <sz val="10"/>
        <color indexed="10"/>
        <rFont val="Arial"/>
        <family val="2"/>
      </rPr>
      <t>200гр</t>
    </r>
  </si>
  <si>
    <r>
      <t xml:space="preserve">Гар нүүрийн саван, </t>
    </r>
    <r>
      <rPr>
        <sz val="10"/>
        <color indexed="10"/>
        <rFont val="Arial"/>
        <family val="2"/>
      </rPr>
      <t>"Lux"</t>
    </r>
  </si>
  <si>
    <t>Сахлын татуурга</t>
  </si>
  <si>
    <r>
      <t xml:space="preserve">Эмэгтэй хүний нүүрний энгэсэг, </t>
    </r>
    <r>
      <rPr>
        <sz val="10"/>
        <color indexed="10"/>
        <rFont val="Arial"/>
        <family val="2"/>
      </rPr>
      <t>"Geo", БНСУ</t>
    </r>
  </si>
  <si>
    <t>12.1.2 ГОО САЙХНЫ ХЭРЭГЦЭЭНД ЗОРИУЛСАН БУСАД ЭД ЗYЙЛС, ХЭРЭГСЛYYД</t>
  </si>
  <si>
    <t>Нийтийн халуун усны хөлс, том хүн</t>
  </si>
  <si>
    <t>Эмэгтэй үс засуулах хөлс, энгийн тайралт</t>
  </si>
  <si>
    <t>Эрэгтэй үс засуулах хөлс</t>
  </si>
  <si>
    <t>12.1.1 YСЧИН БОЛОН ГОО САЙХНЫ YЙЛЧИЛГЭЭ</t>
  </si>
  <si>
    <t>12.1   ХУВЬ ХYНД ХАНДСАН YЙЛЧИЛГЭЭ</t>
  </si>
  <si>
    <t>12.    БУСАД БАРАА, YЙЛЧИЛГЭЭ</t>
  </si>
  <si>
    <t>Зочид буудлын хөлс, энгийн, 1 хүн, 1 хоног</t>
  </si>
  <si>
    <t>11.2.1  ЗОЧИД БУУДАЛ, ДОТУУР БАЙРНЫ YЙЛЧИЛГЭЭ</t>
  </si>
  <si>
    <t>11.2   ЗОЧИД БУУДАЛ ДОТУУР БАЙРНЫ YЙЛЧИЛГЭЭ</t>
  </si>
  <si>
    <t>Гуанзны хоолны үнэ, /цуйван, сүүтэй цай/, аймгийн төв захын гуанз</t>
  </si>
  <si>
    <t>11.1.2 ГУАНЗ, ЦАЙНЫ ГАЗАР</t>
  </si>
  <si>
    <r>
      <t xml:space="preserve">Зоогийн газрын хоолны үнэ </t>
    </r>
    <r>
      <rPr>
        <sz val="10"/>
        <color indexed="10"/>
        <rFont val="Arial"/>
        <family val="2"/>
      </rPr>
      <t>/Нийслэл салат, гуляш, байхуу цай/</t>
    </r>
  </si>
  <si>
    <t>11.1.1 РЕСТОРАН, КАФЕ, БУСАД ЗООГИЙН ГАЗАР</t>
  </si>
  <si>
    <t>11.1   НИЙТИЙН ХООЛНЫ YЙЛЧИЛГЭЭ</t>
  </si>
  <si>
    <t>11.    ЗОЧИД БУУДАЛ, НИЙТИЙН ХООЛ, ДОТУУР БАЙРНЫ YЙЛЧИЛГЭЭ</t>
  </si>
  <si>
    <r>
      <t xml:space="preserve">Улсын их, дээд сургуулийн жилийн сургалтын төлбөр / </t>
    </r>
    <r>
      <rPr>
        <sz val="10"/>
        <color indexed="10"/>
        <rFont val="Arial"/>
        <family val="2"/>
      </rPr>
      <t>оюутан олонтой сургуулийг сонгох/</t>
    </r>
  </si>
  <si>
    <t>10.1.1 ДЭЭД БОЛОВСРОЛ</t>
  </si>
  <si>
    <t>10.1   БОЛОВСРОЛЫН YЙЛЧИЛГЭЭ</t>
  </si>
  <si>
    <t>10.    БОЛОВСРОЛЫН YЙЛЧИЛГЭЭ</t>
  </si>
  <si>
    <t>Yçãýí áàë, цэнхэр өнгийн, "Deli" , БНХАУ</t>
  </si>
  <si>
    <t>09.4.4  БИЧГИЙН БОЛОН ЗУРГИЙН ХЭРЭГСЭЛ</t>
  </si>
  <si>
    <t>"TV zone" сэтгүүлийн үнэ, дугаарын үнэ</t>
  </si>
  <si>
    <t>09.4.3  БУСАД ХЭВЛЭМЭЛ ЗYЙЛС</t>
  </si>
  <si>
    <t>Орон нутгийн сонины улирлын захиалга</t>
  </si>
  <si>
    <t>09.4.2  СОНИН, СЭТГYYЛ, БУСАД ТОГТМОЛ ХЭВЛЭЛ</t>
  </si>
  <si>
    <r>
      <t xml:space="preserve">Сурагчийн дэвтэр, дөрвөлжин шугамтай, 12 хуудастай, </t>
    </r>
    <r>
      <rPr>
        <sz val="10"/>
        <color indexed="10"/>
        <rFont val="Arial"/>
        <family val="2"/>
      </rPr>
      <t>Улаанбаатар Принтинг</t>
    </r>
  </si>
  <si>
    <r>
      <t xml:space="preserve">Сурах бичиг, </t>
    </r>
    <r>
      <rPr>
        <sz val="10"/>
        <color indexed="10"/>
        <rFont val="Arial"/>
        <family val="2"/>
      </rPr>
      <t>"Математикийн бодлогын хураамж", 3-р анги, зохиолч Баяжих</t>
    </r>
  </si>
  <si>
    <t>09.4.1  НОМ</t>
  </si>
  <si>
    <t>09.3   НОМ, СОНИН, БИЧГИЙН ХЭРЭГСЭЛ</t>
  </si>
  <si>
    <r>
      <t xml:space="preserve">Билльярд тоглох хөлс, клубт, </t>
    </r>
    <r>
      <rPr>
        <sz val="10"/>
        <color indexed="10"/>
        <rFont val="Arial"/>
        <family val="2"/>
      </rPr>
      <t xml:space="preserve">1 цагийн хөлс </t>
    </r>
  </si>
  <si>
    <t>09.3.2  СОЁЛЫН YЙЛЧИЛГЭЭ</t>
  </si>
  <si>
    <r>
      <rPr>
        <sz val="10"/>
        <color indexed="10"/>
        <rFont val="Arial"/>
        <family val="2"/>
      </rPr>
      <t>Дижитал эх үүсвэрээс фотозураг угаалгах</t>
    </r>
    <r>
      <rPr>
        <sz val="10"/>
        <color indexed="8"/>
        <rFont val="Arial"/>
        <family val="2"/>
      </rPr>
      <t>, 10х15см, Фужи Фильм, Коника</t>
    </r>
  </si>
  <si>
    <t xml:space="preserve">Кабелийн телевизийн сарын хураамж:  </t>
  </si>
  <si>
    <t>Зурагтын сарын хураамж, " МҮОНТ "</t>
  </si>
  <si>
    <t>09.3.1  ЧӨЛӨӨТ ЦАГИЙН YЙЛЧИЛГЭЭ</t>
  </si>
  <si>
    <t>09.2   ЧӨЛӨӨТ ЦАГ, СОЁЛЫН YЙЛЧИЛГЭЭ</t>
  </si>
  <si>
    <t>Бичлэггүй CD</t>
  </si>
  <si>
    <t>Флаш диск,  2 Gb, БНХАУ</t>
  </si>
  <si>
    <t>09.1.4  БИЧЛЭГ ХИЙХ ХЭРЭГСЭЛ</t>
  </si>
  <si>
    <r>
      <rPr>
        <sz val="10"/>
        <color indexed="10"/>
        <rFont val="Arial"/>
        <family val="2"/>
      </rPr>
      <t>MP3, 2GB</t>
    </r>
    <r>
      <rPr>
        <sz val="10"/>
        <color indexed="8"/>
        <rFont val="Arial"/>
        <family val="2"/>
      </rPr>
      <t>, БНХАУ</t>
    </r>
  </si>
  <si>
    <t>DVD тоглуулагч, БНХАУ</t>
  </si>
  <si>
    <r>
      <t>Өнгөт телевизор, 21"-ийн ,</t>
    </r>
    <r>
      <rPr>
        <sz val="10"/>
        <color indexed="10"/>
        <rFont val="Arial"/>
        <family val="2"/>
      </rPr>
      <t xml:space="preserve"> "Haier", БНХАУ</t>
    </r>
  </si>
  <si>
    <t>09.1.1  ДУУ, ДYРСИЙГ ХYЛЭЭН АВАХ, БИЧЛЭГ ХИЙХ, ХУВИЛАХ ТОНОГ ТӨХӨӨРӨМЖ</t>
  </si>
  <si>
    <t>09.1   ДУУ, ДYРС, ГЭРЭЛ ЗУРАГ, МЭДЭЭЛЛИЙГ БОЛОВСРУУЛАХ ТОНОГ ТӨХӨӨРӨМЖ</t>
  </si>
  <si>
    <t>09.    АМРАЛТ, ЧӨЛӨӨТ ЦАГ, СОЁЛЫН БАРАА, YЙЛЧИЛГЭЭ</t>
  </si>
  <si>
    <t>Ãàð óòàñ, Nokia 3500</t>
  </si>
  <si>
    <t>Èíòåðíýò êàôåä èíòåðíýò àøèãëàõ õºëñ, 1 öàã</t>
  </si>
  <si>
    <r>
      <t xml:space="preserve">Скайтелийн сүлжээндээ </t>
    </r>
    <r>
      <rPr>
        <sz val="10"/>
        <color indexed="10"/>
        <rFont val="Arial"/>
        <family val="2"/>
      </rPr>
      <t>1 мин ярих хөлс</t>
    </r>
    <r>
      <rPr>
        <sz val="10"/>
        <color indexed="8"/>
        <rFont val="Arial"/>
        <family val="2"/>
      </rPr>
      <t xml:space="preserve">, НӨТ орсон /урьдчилсан төлбөрт </t>
    </r>
    <r>
      <rPr>
        <sz val="10"/>
        <color indexed="10"/>
        <rFont val="Arial"/>
        <family val="2"/>
      </rPr>
      <t>картын хэрэглэгчийн /</t>
    </r>
  </si>
  <si>
    <r>
      <t xml:space="preserve">Мобикомын сүлжээндээ </t>
    </r>
    <r>
      <rPr>
        <sz val="10"/>
        <color indexed="10"/>
        <rFont val="Arial"/>
        <family val="2"/>
      </rPr>
      <t>1 мин ярих хөлс</t>
    </r>
    <r>
      <rPr>
        <sz val="10"/>
        <color indexed="8"/>
        <rFont val="Arial"/>
        <family val="2"/>
      </rPr>
      <t xml:space="preserve">, НӨТ орсон /урьдчилсан төлбөрт </t>
    </r>
    <r>
      <rPr>
        <sz val="10"/>
        <color indexed="10"/>
        <rFont val="Arial"/>
        <family val="2"/>
      </rPr>
      <t>картын хэрэглэгчийн /</t>
    </r>
  </si>
  <si>
    <t>Энгийн утаснаас энгийн утас руу ярих 1 минутын тариф</t>
  </si>
  <si>
    <t>08.1.3  ТЕЛЕФОН УТАС, ФАКСЫН YЙЛЧИЛГЭЭ</t>
  </si>
  <si>
    <t>08.1   ХОЛБООНЫ YЙЛЧИЛГЭЭ, ШУУДАНГИЙН YЙЛЧИЛГЭЭ</t>
  </si>
  <si>
    <t>08.    ХОЛБООНЫ ХЭРЭГСЭЛ, ШУУДАНГИЙН YЙЛЧИЛГЭЭ</t>
  </si>
  <si>
    <t>Аймгийн төвөөс УБ нисэх онгоцны билет, том хүн, нэг талдаа</t>
  </si>
  <si>
    <t>07.3.3  АГААРЫН ЗОРЧИГЧ ТЭЭВРИЙН YЙЛЧИЛГЭЭ</t>
  </si>
  <si>
    <r>
      <t xml:space="preserve">Аймгаас -УБ орох </t>
    </r>
    <r>
      <rPr>
        <sz val="10"/>
        <color indexed="10"/>
        <rFont val="Arial"/>
        <family val="2"/>
      </rPr>
      <t>автобусны /тендер/ хөлс, нэг талдаа</t>
    </r>
  </si>
  <si>
    <t>Хот доторх таксины хөлс, 1 км</t>
  </si>
  <si>
    <r>
      <rPr>
        <sz val="10"/>
        <color indexed="10"/>
        <rFont val="Arial"/>
        <family val="2"/>
      </rPr>
      <t>Микроавтобус</t>
    </r>
    <r>
      <rPr>
        <sz val="10"/>
        <color indexed="8"/>
        <rFont val="Arial"/>
        <family val="2"/>
      </rPr>
      <t xml:space="preserve"> билет, том хүн</t>
    </r>
  </si>
  <si>
    <t>07.3.2  АВТО ЗАМЫН ЗОРЧИГЧ ТЭЭВРИЙН YЙЛЧИЛГЭЭ</t>
  </si>
  <si>
    <t>УБ-аймгийн төвийн төмөр замын хөлс, том хүн, нэг талдаа, купе</t>
  </si>
  <si>
    <t>07.3.1  ТӨМӨР ЗАМЫН ЗОРЧИГЧ ТЭЭВРИЙН YЙЛЧИЛГЭЭ</t>
  </si>
  <si>
    <t>07.3  ТЭЭВРИЙН YЙЛЧИЛГЭЭ</t>
  </si>
  <si>
    <t>Машины дугуй нөхөх хөлс, суудлын тэрэгний дотуур хаймар нөхөх</t>
  </si>
  <si>
    <t>07.2.3  ТЭЭВРИЙН ХЭРЭГСЛИЙН ЗАСВАР, YЙЛЧИЛГЭЭ</t>
  </si>
  <si>
    <t>Дизелийн түлш, 1 литр</t>
  </si>
  <si>
    <t>Бензин, А-92, 1 литр</t>
  </si>
  <si>
    <t>Бензин, А-80, 1 литр</t>
  </si>
  <si>
    <t>07.2.2  ХУВИЙН ТЭЭВРИЙН ХЭРЭГСЛИЙН ШАТАХ, ТОСЛОХ МАТЕРИАЛ</t>
  </si>
  <si>
    <r>
      <t xml:space="preserve">Автомашины дугуй, </t>
    </r>
    <r>
      <rPr>
        <sz val="10"/>
        <color indexed="10"/>
        <rFont val="Arial"/>
        <family val="2"/>
      </rPr>
      <t>УАЗ-469, Кама</t>
    </r>
  </si>
  <si>
    <t>07.2.1  ХУВИЙН ТЭЭВРИЙН ХЭРЭГСЛИЙН СЭЛБЭГ, ХЭРЭГСЭЛ</t>
  </si>
  <si>
    <t>07.2  ХУВИЙН ТЭЭВРИЙН ХЭРЭГСЛИЙН ЗАСВАР, YЙЛЧИЛГЭЭ</t>
  </si>
  <si>
    <r>
      <t xml:space="preserve">Унадаг дугуй, </t>
    </r>
    <r>
      <rPr>
        <sz val="10"/>
        <color indexed="10"/>
        <rFont val="Arial"/>
        <family val="2"/>
      </rPr>
      <t>6 араатай, том хүний, амортизатортай</t>
    </r>
    <r>
      <rPr>
        <sz val="10"/>
        <color indexed="8"/>
        <rFont val="Arial"/>
        <family val="2"/>
      </rPr>
      <t>, БНХАУ</t>
    </r>
  </si>
  <si>
    <t>07.1.2  УНАДАГ ДУГУЙ</t>
  </si>
  <si>
    <t xml:space="preserve">Мотоцикл, "Бүргэд", цилиндр 124 См3, рамтай, БНХАУ </t>
  </si>
  <si>
    <t>07.1.1  АВТОМАШИН, МОТОЦИКЛ</t>
  </si>
  <si>
    <t>07.1  ТЭЭВРИЙН ХЭРЭГСЛИЙН ХУДАЛДАН АВАЛТ</t>
  </si>
  <si>
    <t>07.    ТЭЭВЭР</t>
  </si>
  <si>
    <r>
      <t xml:space="preserve">Эмнэлгийн ор хоногийн хөлс, аймгийн нэгдсэн эмнэлэг, өдрийн, </t>
    </r>
    <r>
      <rPr>
        <sz val="10"/>
        <color indexed="10"/>
        <rFont val="Arial"/>
        <family val="2"/>
      </rPr>
      <t>даатгалгүй иргэд</t>
    </r>
  </si>
  <si>
    <r>
      <t xml:space="preserve">Эмнэлгийн ор хоногийн хөлс, аймгийн нэгдсэн эмнэлэг, өдрийн, </t>
    </r>
    <r>
      <rPr>
        <sz val="10"/>
        <color indexed="10"/>
        <rFont val="Arial"/>
        <family val="2"/>
      </rPr>
      <t>даатгалтай иргэд</t>
    </r>
  </si>
  <si>
    <t>06.3.1  ЭМНЭЛЭГТ ХЭВТЭЖ YЗYYЛСЭН YЙЛЧИЛГЭЭ</t>
  </si>
  <si>
    <t>06.3  ЭМНЭЛЭГТ ХЭВТЭЖ YЗYYЛСЭН YЙЛЧИЛГЭЭ</t>
  </si>
  <si>
    <t>Ëàáîðàòîðèéí øèíæèëãýý õèéõ õºëñ, ÝÕÎ-д /элэг, цөс, бөөр/  харуулах</t>
  </si>
  <si>
    <r>
      <t xml:space="preserve">Шүдний эмчид үзүүлэх, </t>
    </r>
    <r>
      <rPr>
        <sz val="10"/>
        <color indexed="10"/>
        <rFont val="Arial"/>
        <family val="2"/>
      </rPr>
      <t>өөрөө хатуурагч ломб</t>
    </r>
    <r>
      <rPr>
        <sz val="10"/>
        <color indexed="8"/>
        <rFont val="Arial"/>
        <family val="2"/>
      </rPr>
      <t xml:space="preserve"> тавиулах</t>
    </r>
  </si>
  <si>
    <t>06.2.2  ШYДНИЙ ЭМНЭЛГИЙН YЙЛЧИЛГЭЭ</t>
  </si>
  <si>
    <t>06.2  АМБУЛТОРЫН YЙЛЧИЛГЭЭ</t>
  </si>
  <si>
    <t>Хөвөн, боодолтой, 50гр, дотоод</t>
  </si>
  <si>
    <t>Даралтны эм</t>
  </si>
  <si>
    <t>Пенициллин, тариагаар, 1 сая</t>
  </si>
  <si>
    <t>Хлорфенамен, Монос</t>
  </si>
  <si>
    <t>Витамин "С", үрлэн, 50ш</t>
  </si>
  <si>
    <t>Ампциллин, 500 mg, 10ш, том хүний</t>
  </si>
  <si>
    <t>Парацетамол, 10ш, Моносфарм</t>
  </si>
  <si>
    <t>06.1.1  ЭМ, ТАРИА</t>
  </si>
  <si>
    <t>06.1  ЭМ, ТАРИА, ЭМНЭЛГИЙН ХЭРЭГСЭЛ</t>
  </si>
  <si>
    <t>06.    ЭМ, ТАРИА, ЭМНЭЛГИЙН YЙЛЧИЛГЭЭ</t>
  </si>
  <si>
    <t>Шүдэнз, толгой, ОХУ</t>
  </si>
  <si>
    <t>Лаа, Монлаа, нэг боодол, урт нь 15 см</t>
  </si>
  <si>
    <t xml:space="preserve">Аяга, таваг угаагч шингэн, Fairy, 500мл </t>
  </si>
  <si>
    <r>
      <t xml:space="preserve">Угаалгын нунтаг, "OMO-99" , </t>
    </r>
    <r>
      <rPr>
        <sz val="10"/>
        <color indexed="10"/>
        <rFont val="Arial"/>
        <family val="2"/>
      </rPr>
      <t xml:space="preserve">400 гр </t>
    </r>
  </si>
  <si>
    <t>Эдийн саван, ОК</t>
  </si>
  <si>
    <t>05.6.1  ГЭР АХУЙН БАРАА</t>
  </si>
  <si>
    <t>05.6  ГЭР АХУЙН ЦЭВЭРЛЭГЭЭНИЙ БОЛОН БУСАД ЖИЖИГ БАРАА, ГЭРИЙН YЙЛЧИЛГЭЭ</t>
  </si>
  <si>
    <t>Гэрлийн шил, 60 В, энгийн, сүүн биш, бор цаастай</t>
  </si>
  <si>
    <t>Хуруу зай, 1.5в, "Sony"</t>
  </si>
  <si>
    <t>Төмөр зуух, нимгэн төмрөөр хийсэн, энгийн</t>
  </si>
  <si>
    <t>05.5.1  ЖИЖИГ БАГАЖ ХЭРЭГСЭЛ</t>
  </si>
  <si>
    <t>05.5  ГЭР АХУЙ, ЦЭЦЭРЛЭГИЙН ЗОРИУЛАЛТТАЙ ХӨДӨЛМӨРИЙН БАГАЖ ХЭРЭГСЭЛ</t>
  </si>
  <si>
    <t>Хоолны төмөр сав, 3л, никель</t>
  </si>
  <si>
    <t>Шаазан аяга, БНХАУ</t>
  </si>
  <si>
    <t>Цайны халуун сав, 2 л, хуванцар гадартай</t>
  </si>
  <si>
    <t>Данх, никель, 3л</t>
  </si>
  <si>
    <t>05.4.1  ГЭР АХУЙН ШИЛЭН ЭДЛЭЛ, САВ СУУЛГА</t>
  </si>
  <si>
    <t>05.4  ГЭР АХУЙН ШИЛЭН ЭДЛЭЛ, САВ СУУЛГА</t>
  </si>
  <si>
    <t>Öàõèëãààí ïëèòêà, "Ìå÷òà"</t>
  </si>
  <si>
    <r>
      <t xml:space="preserve">Цахилгаан индүү, </t>
    </r>
    <r>
      <rPr>
        <sz val="10"/>
        <color indexed="10"/>
        <rFont val="Arial"/>
        <family val="2"/>
      </rPr>
      <t>уур гаргадаг</t>
    </r>
    <r>
      <rPr>
        <sz val="10"/>
        <color indexed="8"/>
        <rFont val="Arial"/>
        <family val="2"/>
      </rPr>
      <t>, БНХАУ</t>
    </r>
  </si>
  <si>
    <r>
      <t xml:space="preserve">Угаалгын машин, хагас автомат, </t>
    </r>
    <r>
      <rPr>
        <sz val="10"/>
        <color indexed="10"/>
        <rFont val="Arial"/>
        <family val="2"/>
      </rPr>
      <t>6.5 кг багтаамжтай, "Haier"</t>
    </r>
    <r>
      <rPr>
        <sz val="10"/>
        <color indexed="8"/>
        <rFont val="Arial"/>
        <family val="2"/>
      </rPr>
      <t>, БНХАУ</t>
    </r>
  </si>
  <si>
    <t>Хөргөгч, 2 хаалгатай, 150 см өндөр, БНХАУ</t>
  </si>
  <si>
    <t>05.3.1  ГЭР АХУЙН УДААН ЭДЭЛГЭЭТ ЦАХИЛГААН БОЛОН БУСАД БАРАА</t>
  </si>
  <si>
    <t>05.3  ГЭР АХУЙН ЦАХИЛГААН БАРАА</t>
  </si>
  <si>
    <t>Гар нүүрийн алчуур, 30*60см</t>
  </si>
  <si>
    <r>
      <t xml:space="preserve">Ор, хөнжлийн даавуу, </t>
    </r>
    <r>
      <rPr>
        <sz val="10"/>
        <color indexed="10"/>
        <rFont val="Arial"/>
        <family val="2"/>
      </rPr>
      <t>1 хүний</t>
    </r>
  </si>
  <si>
    <t>Хөвөнтэй хөнжил, 1 хүний</t>
  </si>
  <si>
    <t>Орны бүтээлэг, тааран, цэцгэн хээтэй, БНХАУ</t>
  </si>
  <si>
    <t>05.2.1  ГЭР АХУЙН ОЁМОЛ, НЭХМЭЛ ЭДЛЭЛ</t>
  </si>
  <si>
    <t>05.2  ГЭР АХУЙН ОЁМОЛ, НЭХМЭЛ ЭДЛЭЛ</t>
  </si>
  <si>
    <t>Шалны хулдаас, зузаавтар, БНХАУ</t>
  </si>
  <si>
    <t>Хивс, 2х3м хэмжээтэй, энгийн, "Эрдэнэт хивс"</t>
  </si>
  <si>
    <t>05.1.2  ХИВС БОЛОН ШАЛНЫ БУСАД ДЭВСГЭР</t>
  </si>
  <si>
    <t xml:space="preserve">Модон сандал, жижиг, явган, 30 см өндөртэй </t>
  </si>
  <si>
    <t>Диван, гар хийцийн</t>
  </si>
  <si>
    <t>Модон авдар, хээтэй</t>
  </si>
  <si>
    <r>
      <t xml:space="preserve">Модон ор, </t>
    </r>
    <r>
      <rPr>
        <sz val="10"/>
        <color indexed="10"/>
        <rFont val="Arial"/>
        <family val="2"/>
      </rPr>
      <t xml:space="preserve">хээгүй , лактай </t>
    </r>
  </si>
  <si>
    <t>05.1.1  ГЭРИЙН ТАВИЛГА, ХЭРЭГСЭЛ</t>
  </si>
  <si>
    <t>05.1  ГЭР АХУЙН ТАВИЛГА, ХЭРЭГСЭЛ, ХИВС БОЛОН ШАЛНЫ БУСАД ДЭВСГЭР</t>
  </si>
  <si>
    <t>05.    ГЭР АХУЙН ТАВИЛГА, ГЭР АХУЙН БАРАА</t>
  </si>
  <si>
    <t>Халуун ус, сард, 1 хүний</t>
  </si>
  <si>
    <t>04.4.3  ХАЛУУН УС, УУР, МӨС</t>
  </si>
  <si>
    <t xml:space="preserve">Нүүрс, 1 шуудай, </t>
  </si>
  <si>
    <t>Түлшний мод, шуудайгаар</t>
  </si>
  <si>
    <t>04.4.2  ХАТУУ ТYЛШ</t>
  </si>
  <si>
    <r>
      <t xml:space="preserve">Гэр хорооллын цахилгаан, 1 кВт, </t>
    </r>
    <r>
      <rPr>
        <sz val="10"/>
        <color indexed="10"/>
        <rFont val="Arial"/>
        <family val="2"/>
      </rPr>
      <t>/ 100-150 квт хэрэглээг авах/</t>
    </r>
  </si>
  <si>
    <r>
      <t xml:space="preserve">Орон сууцны цахилгаан, 1 кВт, </t>
    </r>
    <r>
      <rPr>
        <sz val="10"/>
        <color indexed="10"/>
        <rFont val="Arial"/>
        <family val="2"/>
      </rPr>
      <t>/ 100-150 квт хэрэглээг авах/</t>
    </r>
  </si>
  <si>
    <t>04.4.1  СУУЦНЫ ЦАХИЛГААН ХАНГАМЖТАЙ ХОЛБОГДОХ ЗАРДАЛ</t>
  </si>
  <si>
    <t>04.4  ЦАХИЛГААН, ХИЙН БОЛОН БУСАД ТYЛШ</t>
  </si>
  <si>
    <r>
      <t>Халаалт, 1м</t>
    </r>
    <r>
      <rPr>
        <vertAlign val="superscript"/>
        <sz val="10"/>
        <color indexed="8"/>
        <rFont val="Arial"/>
        <family val="2"/>
      </rPr>
      <t>2</t>
    </r>
  </si>
  <si>
    <t>Засвар үйлчилгээний хөлс (СӨХ-д төлдөг хөлс) 1м2</t>
  </si>
  <si>
    <t>04.3.4  ОРОН СУУЦТАЙ ХОЛБОГДОХ ЗАРДАЛ</t>
  </si>
  <si>
    <t>Бохир усны үнэ, сард, 1 хүний</t>
  </si>
  <si>
    <t>04.3.3  БОХИР УСТАЙ ХОЛБОГДОХ ЗАРДАЛ</t>
  </si>
  <si>
    <t xml:space="preserve">Хог хаягдал, сард, гэр хорооллын 1 өрхийн </t>
  </si>
  <si>
    <t>Хог хаягдал, орон сууцны нэг өрхийн, сард</t>
  </si>
  <si>
    <t>04.3.2  ХОГ ХАЯГДАЛТАЙ ХОЛБОГДОХ ЗАРДАЛ</t>
  </si>
  <si>
    <t>Цэвэр ус, гэр хороолол, 1 л</t>
  </si>
  <si>
    <t>Цэвэр усны үнэ, сард, орон сууцны айлын, 1 хүний</t>
  </si>
  <si>
    <t>04.3.1  СУУЦНЫ ЦЭВЭР УСАН ХАНГАМЖТАЙ ХОЛБОГДОХ ЗАРДАЛ</t>
  </si>
  <si>
    <t>04.3  УСАН ХАНГАМЖ БОЛОН ОРОН СУУЦНЫ БУСАД YЙЛЧИЛГЭЭ</t>
  </si>
  <si>
    <r>
      <t xml:space="preserve">Орон сууцанд энгийн засвар хийх хөлс, 2 өрөө байр, </t>
    </r>
    <r>
      <rPr>
        <sz val="10"/>
        <color indexed="10"/>
        <rFont val="Arial"/>
        <family val="2"/>
      </rPr>
      <t>/тааз эмульсдэх, хаалга, цонх, паар будах, ханын цаас /обой/ солих, гал тогооны өрөө, жорлон, ванны өрөөнйи плита солих/</t>
    </r>
  </si>
  <si>
    <t>04.2.2  ОРОН СУУЦНЫ ТЕХНИКИЙН БОЛОН ЗАСВАР YЙЛЧИЛГЭЭ</t>
  </si>
  <si>
    <t>Гэрийн гадуур  бүрээс, цагаан ямбуу, 5 ханатай гэрийн</t>
  </si>
  <si>
    <t>Монгол гэрийн модон хаалга, хээгүй, энгийн, 5 ханатай</t>
  </si>
  <si>
    <r>
      <t xml:space="preserve">Хадаас, </t>
    </r>
    <r>
      <rPr>
        <sz val="10"/>
        <color indexed="10"/>
        <rFont val="Arial"/>
        <family val="2"/>
      </rPr>
      <t xml:space="preserve">70 мм, 100 гр </t>
    </r>
  </si>
  <si>
    <t>Вакуум цонхны 1м.кв-ын үнэ,  2 давхар шилтэй, хуванцар хүрээтэй,</t>
  </si>
  <si>
    <t>Цемент, 1уут, БНХАУ</t>
  </si>
  <si>
    <t>Цагаан тосон будаг, 1 л, байшинтай, БНХАУ</t>
  </si>
  <si>
    <t>04.2.1  ОРОН СУУЦНЫ УРСГАЛ ЗАСВАРЫН БАРАА, МАТЕРИАЛ</t>
  </si>
  <si>
    <t>04.2  ОРОН СУУЦНЫ ТЕХНИКИЙН БОЛОН ЗАСВАРЫН YЙЛЧИЛГЭЭ</t>
  </si>
  <si>
    <t>Сууц хөлслөгчийн төлсөн бодит түрээс</t>
  </si>
  <si>
    <t>04.1.1  СУУЦ ХӨЛСЛӨГЧИЙН ТӨЛСӨН БОДИТ ТYРЭЭС</t>
  </si>
  <si>
    <t>04.    ОРОН СУУЦ, УС, ЦАХИЛГААН, ХИЙН БОЛОН БУСАД ТYЛШ</t>
  </si>
  <si>
    <t>Ýìýãòýé õ¿íèé ãóòëûí ºñãèéä çàí òàâèõ</t>
  </si>
  <si>
    <t xml:space="preserve">Хүүхдийн пүүз, хиймэл ширэн, 10-12 насны хүүхдийн, БНХАУ </t>
  </si>
  <si>
    <t>Охидын хавар намрын гутал, урт түрийтэй, 6-8 насны</t>
  </si>
  <si>
    <t>Эрэгтэй хүүхдийн өвлийн пүүзэн гутал, 36--38 размер, БНХАУ</t>
  </si>
  <si>
    <t>ХYYХДИЙН ГУТАЛ</t>
  </si>
  <si>
    <r>
      <t xml:space="preserve">Эмэгтэй хүний ширэн туфли, </t>
    </r>
    <r>
      <rPr>
        <sz val="10"/>
        <color indexed="10"/>
        <rFont val="Arial"/>
        <family val="2"/>
      </rPr>
      <t>дугуй хоншоортой, 5-6  см өндөр өсгийтэй</t>
    </r>
    <r>
      <rPr>
        <sz val="10"/>
        <color indexed="8"/>
        <rFont val="Arial"/>
        <family val="2"/>
      </rPr>
      <t>, БНХАУ</t>
    </r>
  </si>
  <si>
    <r>
      <t xml:space="preserve">Эмэгтэй хавар, намрын гутал, ширэн, </t>
    </r>
    <r>
      <rPr>
        <sz val="10"/>
        <color indexed="10"/>
        <rFont val="Arial"/>
        <family val="2"/>
      </rPr>
      <t>урт түрийтэй</t>
    </r>
  </si>
  <si>
    <t>Эмэгтэй өвлийн гутал, ширэн, урт түрийтэй, цахилгаантай, энгийн, БНХАУ</t>
  </si>
  <si>
    <t>ЭМЭГТЭЙ ГУТАЛ</t>
  </si>
  <si>
    <t>Эрэгтэй хүний пүүз, 41-43 размер, БНХАУ</t>
  </si>
  <si>
    <r>
      <t xml:space="preserve">Эрэгтэй ботинк, </t>
    </r>
    <r>
      <rPr>
        <sz val="10"/>
        <color indexed="10"/>
        <rFont val="Arial"/>
        <family val="2"/>
      </rPr>
      <t>хиймэл ширэн,</t>
    </r>
    <r>
      <rPr>
        <sz val="10"/>
        <color indexed="8"/>
        <rFont val="Arial"/>
        <family val="2"/>
      </rPr>
      <t xml:space="preserve"> үдээстэй</t>
    </r>
  </si>
  <si>
    <t>Эрэгтэй өвлийн гутал, хагас түрийтэй</t>
  </si>
  <si>
    <t>ЭРЭГТЭЙ ГУТАЛ</t>
  </si>
  <si>
    <t>03.2.1  БYХ ТӨРЛИЙН ГУТАЛ</t>
  </si>
  <si>
    <t>03.2  ГУТАЛ</t>
  </si>
  <si>
    <t>Эрэгтэй хүний өмдний бүс, хиймэл ширэн, төмөр, оломтой</t>
  </si>
  <si>
    <r>
      <rPr>
        <sz val="10"/>
        <color indexed="10"/>
        <rFont val="Arial"/>
        <family val="2"/>
      </rPr>
      <t>Эмэгтэй</t>
    </r>
    <r>
      <rPr>
        <sz val="10"/>
        <color indexed="8"/>
        <rFont val="Arial"/>
        <family val="2"/>
      </rPr>
      <t xml:space="preserve"> савхин бээлий, </t>
    </r>
    <r>
      <rPr>
        <sz val="10"/>
        <color indexed="10"/>
        <rFont val="Arial"/>
        <family val="2"/>
      </rPr>
      <t>7-8 размер</t>
    </r>
    <r>
      <rPr>
        <sz val="10"/>
        <color indexed="8"/>
        <rFont val="Arial"/>
        <family val="2"/>
      </rPr>
      <t>, дотоод</t>
    </r>
  </si>
  <si>
    <r>
      <t xml:space="preserve">Эрэгтэй хүний ороолт, ноосон даавуу, </t>
    </r>
    <r>
      <rPr>
        <sz val="10"/>
        <color indexed="10"/>
        <rFont val="Arial"/>
        <family val="2"/>
      </rPr>
      <t>дөрвөлжин судалтай</t>
    </r>
    <r>
      <rPr>
        <sz val="10"/>
        <color indexed="8"/>
        <rFont val="Arial"/>
        <family val="2"/>
      </rPr>
      <t>, БНХАУ</t>
    </r>
  </si>
  <si>
    <t>03.1.3  ЖИЖИГ ЭДЛЭЛ, ХЭРЭГСЭЛ</t>
  </si>
  <si>
    <t>Трико, 4-5 настай охидын, эрээн, даавуун</t>
  </si>
  <si>
    <r>
      <t xml:space="preserve">Хүүхдийн оймс, 5-7 нас, </t>
    </r>
    <r>
      <rPr>
        <sz val="10"/>
        <color indexed="10"/>
        <rFont val="Arial"/>
        <family val="2"/>
      </rPr>
      <t>даавуун</t>
    </r>
    <r>
      <rPr>
        <sz val="10"/>
        <color indexed="8"/>
        <rFont val="Arial"/>
        <family val="2"/>
      </rPr>
      <t>, БНХАУ</t>
    </r>
  </si>
  <si>
    <t>Хүүхдийн футболка, 3-5 насны хүүхдийн, даавуун, БНХАУ</t>
  </si>
  <si>
    <r>
      <t xml:space="preserve">Хүүхдийн жинсэн өмд, </t>
    </r>
    <r>
      <rPr>
        <sz val="10"/>
        <color indexed="10"/>
        <rFont val="Arial"/>
        <family val="2"/>
      </rPr>
      <t>8-10 насны хүүхдийн</t>
    </r>
    <r>
      <rPr>
        <sz val="10"/>
        <color indexed="8"/>
        <rFont val="Arial"/>
        <family val="2"/>
      </rPr>
      <t>, БНХАУ</t>
    </r>
  </si>
  <si>
    <r>
      <t xml:space="preserve">Эрэгтэй хүүхдийн сорочка, цагаан, </t>
    </r>
    <r>
      <rPr>
        <sz val="10"/>
        <color indexed="10"/>
        <rFont val="Arial"/>
        <family val="2"/>
      </rPr>
      <t>10-12 насны хүүхдийн</t>
    </r>
    <r>
      <rPr>
        <sz val="10"/>
        <color indexed="8"/>
        <rFont val="Arial"/>
        <family val="2"/>
      </rPr>
      <t>, БНХАУ</t>
    </r>
  </si>
  <si>
    <r>
      <rPr>
        <sz val="10"/>
        <color indexed="10"/>
        <rFont val="Arial"/>
        <family val="2"/>
      </rPr>
      <t>Охидын ноосон цамц, задгай энгэртэй</t>
    </r>
    <r>
      <rPr>
        <sz val="10"/>
        <color indexed="8"/>
        <rFont val="Arial"/>
        <family val="2"/>
      </rPr>
      <t>,</t>
    </r>
    <r>
      <rPr>
        <sz val="10"/>
        <color indexed="10"/>
        <rFont val="Arial"/>
        <family val="2"/>
      </rPr>
      <t>/8-10 настай/ БНХАУ</t>
    </r>
  </si>
  <si>
    <t>Хавар, намрын куртка, синтефон дотортой, 6-7 настай хүүхдийн, БНХАУ</t>
  </si>
  <si>
    <t>ХYYХДИЙН БЭЛЭН ХУВЦАС</t>
  </si>
  <si>
    <t>Оймс, даавуун, БНХАУ</t>
  </si>
  <si>
    <t>Трико, 100% полиамид, БНХАУ</t>
  </si>
  <si>
    <t>Агтавч, 100% хөвөн даавуу, БНХАУ</t>
  </si>
  <si>
    <t>Хөхний даруулга, БНХАУ</t>
  </si>
  <si>
    <r>
      <t xml:space="preserve">Ноосон өмд, </t>
    </r>
    <r>
      <rPr>
        <sz val="10"/>
        <color indexed="10"/>
        <rFont val="Arial"/>
        <family val="2"/>
      </rPr>
      <t>зузаан, дотор нь зөөлөн</t>
    </r>
    <r>
      <rPr>
        <sz val="10"/>
        <color indexed="8"/>
        <rFont val="Arial"/>
        <family val="2"/>
      </rPr>
      <t>, БНХАУ</t>
    </r>
  </si>
  <si>
    <t>Жинсэн өмд, 29-32 размер, хөх өнгийн</t>
  </si>
  <si>
    <r>
      <t xml:space="preserve">Юбка, </t>
    </r>
    <r>
      <rPr>
        <sz val="10"/>
        <color indexed="10"/>
        <rFont val="Arial"/>
        <family val="2"/>
      </rPr>
      <t>хар, шулуун, 50-60 см урт</t>
    </r>
    <r>
      <rPr>
        <sz val="10"/>
        <color indexed="8"/>
        <rFont val="Arial"/>
        <family val="2"/>
      </rPr>
      <t>,100 % полиестр</t>
    </r>
  </si>
  <si>
    <t xml:space="preserve">Даавуун цамц, урт ханцуйтай, судалтай, эргэсэн захтай, </t>
  </si>
  <si>
    <r>
      <t xml:space="preserve">Ноосон цамц, </t>
    </r>
    <r>
      <rPr>
        <sz val="10"/>
        <color indexed="10"/>
        <rFont val="Arial"/>
        <family val="2"/>
      </rPr>
      <t>гурвалжин захтай,</t>
    </r>
    <r>
      <rPr>
        <sz val="10"/>
        <color indexed="8"/>
        <rFont val="Arial"/>
        <family val="2"/>
      </rPr>
      <t xml:space="preserve"> </t>
    </r>
    <r>
      <rPr>
        <sz val="10"/>
        <color indexed="10"/>
        <rFont val="Arial"/>
        <family val="2"/>
      </rPr>
      <t>задгай энгэртэй</t>
    </r>
    <r>
      <rPr>
        <sz val="10"/>
        <color indexed="8"/>
        <rFont val="Arial"/>
        <family val="2"/>
      </rPr>
      <t>, БНХАУ</t>
    </r>
  </si>
  <si>
    <t>Эмэгтэй хослол, 2 хос, 46-48 размер, БНХАУ</t>
  </si>
  <si>
    <r>
      <t>Эмэгтэй хүний, доторгүй куртка,</t>
    </r>
    <r>
      <rPr>
        <sz val="10"/>
        <color indexed="10"/>
        <rFont val="Arial"/>
        <family val="2"/>
      </rPr>
      <t>богино, даавуун, 44-46 размер</t>
    </r>
    <r>
      <rPr>
        <sz val="10"/>
        <color indexed="8"/>
        <rFont val="Arial"/>
        <family val="2"/>
      </rPr>
      <t>, БНХАУ</t>
    </r>
  </si>
  <si>
    <t>Өвлийн курьтка, синтофон дотортой, хагас, үстэй малгайтай, цувны материалтай, 46 размер, БНХАУ</t>
  </si>
  <si>
    <t>ЭМЭГТЭЙ БЭЛЭН ХУВЦАС</t>
  </si>
  <si>
    <r>
      <t xml:space="preserve">Агтавч, 100% хөвөн даавуу, </t>
    </r>
    <r>
      <rPr>
        <sz val="10"/>
        <color indexed="10"/>
        <rFont val="Arial"/>
        <family val="2"/>
      </rPr>
      <t>богино гуятай, өргөн резинтэй, бие барьсан загварын</t>
    </r>
  </si>
  <si>
    <t>Даавуун футболка, 100% даавуу, дугуй захтай, нимгэн, цулгуй, БНХАУ</t>
  </si>
  <si>
    <t>Жинс, 30-34 размер, БНХАУ</t>
  </si>
  <si>
    <t>Биеийн тамирын хослол, 48-52 размер, энгийн, БНХАУ</t>
  </si>
  <si>
    <t>Сорочка, урт ханцуйтай, 35% хөвөн даавуу, судалтай, БНХАУ</t>
  </si>
  <si>
    <r>
      <t xml:space="preserve">Ноосон цамц, 50% ноос, 48 размер, </t>
    </r>
    <r>
      <rPr>
        <sz val="10"/>
        <color indexed="10"/>
        <rFont val="Arial"/>
        <family val="2"/>
      </rPr>
      <t>битүү захтай</t>
    </r>
    <r>
      <rPr>
        <sz val="10"/>
        <color indexed="8"/>
        <rFont val="Arial"/>
        <family val="2"/>
      </rPr>
      <t>, БНХАУ</t>
    </r>
  </si>
  <si>
    <r>
      <t xml:space="preserve">Эрэгтэй хүний  куртка, </t>
    </r>
    <r>
      <rPr>
        <sz val="10"/>
        <color indexed="10"/>
        <rFont val="Arial"/>
        <family val="2"/>
      </rPr>
      <t xml:space="preserve">хавар намрын, ширмэл, салдаг, синтофон дотортой, цувны материалтай </t>
    </r>
  </si>
  <si>
    <t>ЭРЭГТЭЙ БЭЛЭН ХУВЦАС</t>
  </si>
  <si>
    <t>03.1.2  БYХ ТӨРЛИЙН ХУВЦАС</t>
  </si>
  <si>
    <t>Ширмэл дотрын материал, 160см энтэй, м</t>
  </si>
  <si>
    <t>Торго, задгай цэцгэн хээтэй, 80 см өргөнтэй, 1 м</t>
  </si>
  <si>
    <t>Эрээн даавуу, м, 160 см энтэй, БНХАУ</t>
  </si>
  <si>
    <t>Дээлийн даавуу, 140 см өргөнтэй, м, цулгуй, БНХАУ</t>
  </si>
  <si>
    <t>03.1.1  ХӨВӨН, БӨС БАРАА</t>
  </si>
  <si>
    <t>03.1   ХУВЦАС, БӨС БАРАА</t>
  </si>
  <si>
    <t>03.    ХУВЦАС, БӨС БАРАА, ГУТАЛ</t>
  </si>
  <si>
    <r>
      <t xml:space="preserve">Янжуур тамхи, </t>
    </r>
    <r>
      <rPr>
        <sz val="10"/>
        <color indexed="10"/>
        <rFont val="Arial"/>
        <family val="2"/>
      </rPr>
      <t>"Улааншонхор", дотоод</t>
    </r>
  </si>
  <si>
    <r>
      <t xml:space="preserve">Янжуур тамхи, </t>
    </r>
    <r>
      <rPr>
        <sz val="10"/>
        <color indexed="10"/>
        <rFont val="Arial"/>
        <family val="2"/>
      </rPr>
      <t>West, импортын, саарал өнгийн, хайрцагтай</t>
    </r>
  </si>
  <si>
    <t>02.2.1 ТАМХИ</t>
  </si>
  <si>
    <t>02.2 ТАМХИ</t>
  </si>
  <si>
    <r>
      <t xml:space="preserve">Пиво, </t>
    </r>
    <r>
      <rPr>
        <sz val="10"/>
        <color indexed="10"/>
        <rFont val="Arial"/>
        <family val="2"/>
      </rPr>
      <t>Боргио, 0.5 л, шилтэй, ердийн</t>
    </r>
  </si>
  <si>
    <t xml:space="preserve">Аймгийн үйлдвэрийн архи, 0.5 л, </t>
  </si>
  <si>
    <r>
      <t>Цагаан архи, 0.5л, "</t>
    </r>
    <r>
      <rPr>
        <sz val="10"/>
        <color indexed="10"/>
        <rFont val="Arial"/>
        <family val="2"/>
      </rPr>
      <t>Ерөөл",</t>
    </r>
    <r>
      <rPr>
        <sz val="10"/>
        <color indexed="8"/>
        <rFont val="Arial"/>
        <family val="2"/>
      </rPr>
      <t xml:space="preserve"> " АПУ" ХК</t>
    </r>
  </si>
  <si>
    <t>02.1 СОГТУУРУУЛАХ УНДАА</t>
  </si>
  <si>
    <t>02.   СОГТУУРУУЛАХ УНДАА, ТАМХИ, МАНСУУРУУЛАХ БОДИС</t>
  </si>
  <si>
    <r>
      <t xml:space="preserve">Ундаа, MCS Coca Cola, "Бидний ундаа", </t>
    </r>
    <r>
      <rPr>
        <sz val="10"/>
        <color indexed="10"/>
        <rFont val="Arial"/>
        <family val="2"/>
      </rPr>
      <t>1.25 л</t>
    </r>
    <r>
      <rPr>
        <sz val="10"/>
        <color indexed="8"/>
        <rFont val="Arial"/>
        <family val="2"/>
      </rPr>
      <t xml:space="preserve">, </t>
    </r>
  </si>
  <si>
    <t>Жимсний шүүс, "Монфреш",  алимны, 1 л</t>
  </si>
  <si>
    <t>Кофе, ууттай , " Ye Ye", сүүтэй, чихэртэй, 2гр</t>
  </si>
  <si>
    <r>
      <t xml:space="preserve">Байхуу цай, </t>
    </r>
    <r>
      <rPr>
        <sz val="10"/>
        <color indexed="10"/>
        <rFont val="Arial"/>
        <family val="2"/>
      </rPr>
      <t>"Аквар" , 20 ширхэгтэй, улаан өнгийн хайрцагтай</t>
    </r>
  </si>
  <si>
    <r>
      <t xml:space="preserve">Ногоон цай, Гүрж, 2 кг, </t>
    </r>
    <r>
      <rPr>
        <sz val="10"/>
        <color indexed="10"/>
        <rFont val="Arial"/>
        <family val="2"/>
      </rPr>
      <t>Мөнгөн аяга, хадагны зурагтай цаасанд савласан</t>
    </r>
  </si>
  <si>
    <t>01.2 СОГТУУРУУЛАХ БУС УНДАА</t>
  </si>
  <si>
    <t xml:space="preserve">Зайрмаг, "Бамбар", ICE MARK үйлдвэрийн </t>
  </si>
  <si>
    <t>Бохь, боодлоор, Dirol, дотроо 12ш</t>
  </si>
  <si>
    <t>Чипс,"ОВ", 10-12 гр, жижиг</t>
  </si>
  <si>
    <t>Кетчуп, 900 гр, "Чили", 900 гр, Польш</t>
  </si>
  <si>
    <r>
      <t xml:space="preserve">Майонез, </t>
    </r>
    <r>
      <rPr>
        <sz val="10"/>
        <color indexed="10"/>
        <rFont val="Arial"/>
        <family val="2"/>
      </rPr>
      <t>"Золотой" 500 гр, хуванцар савтай</t>
    </r>
  </si>
  <si>
    <t>Давс, цагаан, 1 кг, йоджуулсан</t>
  </si>
  <si>
    <t>01.1.9  ХYНСНИЙ БУСАД БYТЭЭГДЭХYYН</t>
  </si>
  <si>
    <t>Êîìïîò, Ïîëüø, 936 ãð, Kowar, хар чавганы</t>
  </si>
  <si>
    <t>Жимсний чанамал, "VIDAN", цэвэр жин 380 гр</t>
  </si>
  <si>
    <t>Шоколад, "Alpen Gold", 100 гр</t>
  </si>
  <si>
    <t>Зөөлөн чихэр, "Мишка", кг, задгай</t>
  </si>
  <si>
    <r>
      <t xml:space="preserve">Хатуу чихэр, </t>
    </r>
    <r>
      <rPr>
        <sz val="10"/>
        <color indexed="10"/>
        <rFont val="Arial"/>
        <family val="2"/>
      </rPr>
      <t>"Барбарис"</t>
    </r>
    <r>
      <rPr>
        <sz val="10"/>
        <color indexed="8"/>
        <rFont val="Arial"/>
        <family val="2"/>
      </rPr>
      <t xml:space="preserve"> 1 кг, задгай</t>
    </r>
  </si>
  <si>
    <t>Элсэн чихэр, кг, задгай, импортын</t>
  </si>
  <si>
    <t>01.1.8  СААХАР, ЖИМСНИЙ ЧАНАМАЛ, ЗӨГИЙН БАЛ, ЧИХЭР, ШОКОЛАД</t>
  </si>
  <si>
    <t>Сармис, 1 булцуу, БНХАУ</t>
  </si>
  <si>
    <t>Улаан лооль, бөөрөнхий, БНХАУ</t>
  </si>
  <si>
    <r>
      <t>Алаг салат, шилтэй "</t>
    </r>
    <r>
      <rPr>
        <sz val="10"/>
        <color indexed="10"/>
        <rFont val="Arial"/>
        <family val="2"/>
      </rPr>
      <t>Газар шим</t>
    </r>
    <r>
      <rPr>
        <sz val="10"/>
        <color indexed="8"/>
        <rFont val="Arial"/>
        <family val="2"/>
      </rPr>
      <t>", 630 гр</t>
    </r>
  </si>
  <si>
    <r>
      <t xml:space="preserve">Өргөст хэмх, 720 гр, </t>
    </r>
    <r>
      <rPr>
        <sz val="10"/>
        <color indexed="10"/>
        <rFont val="Arial"/>
        <family val="2"/>
      </rPr>
      <t>"Cucumber"</t>
    </r>
    <r>
      <rPr>
        <sz val="10"/>
        <color indexed="8"/>
        <rFont val="Arial"/>
        <family val="2"/>
      </rPr>
      <t xml:space="preserve"> шилтэй, дарсан, </t>
    </r>
    <r>
      <rPr>
        <sz val="10"/>
        <color indexed="10"/>
        <rFont val="Arial"/>
        <family val="2"/>
      </rPr>
      <t>Вьетнам</t>
    </r>
  </si>
  <si>
    <t>Сонгино, кг, БНХАУ</t>
  </si>
  <si>
    <t>Байцаа, кг, БНХАУ</t>
  </si>
  <si>
    <r>
      <t xml:space="preserve">Манжин, </t>
    </r>
    <r>
      <rPr>
        <sz val="10"/>
        <color indexed="10"/>
        <rFont val="Arial"/>
        <family val="2"/>
      </rPr>
      <t>дотоод</t>
    </r>
    <r>
      <rPr>
        <sz val="10"/>
        <color indexed="8"/>
        <rFont val="Arial"/>
        <family val="2"/>
      </rPr>
      <t>, кг</t>
    </r>
  </si>
  <si>
    <r>
      <t xml:space="preserve">Лууван, кг, </t>
    </r>
    <r>
      <rPr>
        <sz val="10"/>
        <color indexed="10"/>
        <rFont val="Arial"/>
        <family val="2"/>
      </rPr>
      <t xml:space="preserve">Хятад </t>
    </r>
  </si>
  <si>
    <r>
      <t xml:space="preserve">Төмс, </t>
    </r>
    <r>
      <rPr>
        <sz val="10"/>
        <color indexed="10"/>
        <rFont val="Arial"/>
        <family val="2"/>
      </rPr>
      <t>дотоод</t>
    </r>
    <r>
      <rPr>
        <sz val="10"/>
        <color indexed="8"/>
        <rFont val="Arial"/>
        <family val="2"/>
      </rPr>
      <t>, кг</t>
    </r>
  </si>
  <si>
    <t>01.1.7  ХYНСНИЙ НОГОО</t>
  </si>
  <si>
    <t>Хатаасан жимс, 100 гр, улбар шар өнгийн</t>
  </si>
  <si>
    <t>Yзэм, кг, БНХАУ</t>
  </si>
  <si>
    <t>Мандарин, кг</t>
  </si>
  <si>
    <t>Алим, шар, кг</t>
  </si>
  <si>
    <t>01.1.6  ЖИМС, ЖИМСГЭНЭ</t>
  </si>
  <si>
    <t>Масло, задгай, 1 кг, ОХУ</t>
  </si>
  <si>
    <t>Шар тос, цэвэр, дотоодын, кг</t>
  </si>
  <si>
    <t>Өөхөн тос, кг</t>
  </si>
  <si>
    <r>
      <t xml:space="preserve">Ургамлын тос, 1 литр, </t>
    </r>
    <r>
      <rPr>
        <sz val="10"/>
        <color indexed="10"/>
        <rFont val="Arial"/>
        <family val="2"/>
      </rPr>
      <t>"Кларина"</t>
    </r>
  </si>
  <si>
    <t>01.1.5  ТӨРӨЛ БYРИЙН ӨӨХ, ТОС</t>
  </si>
  <si>
    <t>Өндөг, дотоод, ш</t>
  </si>
  <si>
    <t>Аарц, задгай, кг</t>
  </si>
  <si>
    <t>Хорхой ааруул, задгай, чихэртэй, кг</t>
  </si>
  <si>
    <t>Тараг, задгай, 1 л</t>
  </si>
  <si>
    <t>Сүү, савласан, "Цэвэр сүү" "АПУ" ХХК,  1л</t>
  </si>
  <si>
    <t>Сүү, үнээний, задгай, литр</t>
  </si>
  <si>
    <t>01.1.4  СYY, СYYН БYТЭЭГДЭХYYН, ӨНДӨГ</t>
  </si>
  <si>
    <t>Элэгний нухаш, ш</t>
  </si>
  <si>
    <t>Тахианы мах, гуя, кг</t>
  </si>
  <si>
    <t>Хиам, чанасан, 1кг</t>
  </si>
  <si>
    <t>Дотор мах, цувдай, цусгүй</t>
  </si>
  <si>
    <t>Ямааны мах, ястай, кг</t>
  </si>
  <si>
    <t>Адууны мах, ястай, кг</t>
  </si>
  <si>
    <t>Yхрийн мах, гуяны цул, кг</t>
  </si>
  <si>
    <t>Yхрийн мах, ястай, кг</t>
  </si>
  <si>
    <t>Хонины мах, ястай, кг</t>
  </si>
  <si>
    <t>01.1.2  МАХ, МАХАН БYТЭЭГДЭХYYН</t>
  </si>
  <si>
    <t>Шар будаа, задгай, кг, ОХУ</t>
  </si>
  <si>
    <t>Цагаан будаа, задгай, кг</t>
  </si>
  <si>
    <r>
      <t xml:space="preserve">Жигнэмэг, </t>
    </r>
    <r>
      <rPr>
        <sz val="10"/>
        <color indexed="10"/>
        <rFont val="Arial"/>
        <family val="2"/>
      </rPr>
      <t xml:space="preserve">"Юбилейные" , 150-180 </t>
    </r>
    <r>
      <rPr>
        <sz val="10"/>
        <color indexed="8"/>
        <rFont val="Arial"/>
        <family val="2"/>
      </rPr>
      <t>гр ,цайны, ОХУ</t>
    </r>
  </si>
  <si>
    <r>
      <t xml:space="preserve">Гурилан боов, </t>
    </r>
    <r>
      <rPr>
        <sz val="10"/>
        <color indexed="10"/>
        <rFont val="Arial"/>
        <family val="2"/>
      </rPr>
      <t>аймгийн үйлдвэрийн</t>
    </r>
    <r>
      <rPr>
        <sz val="10"/>
        <color indexed="8"/>
        <rFont val="Arial"/>
        <family val="2"/>
      </rPr>
      <t xml:space="preserve"> , 450 гр </t>
    </r>
  </si>
  <si>
    <r>
      <t xml:space="preserve">Талх, </t>
    </r>
    <r>
      <rPr>
        <sz val="10"/>
        <color indexed="10"/>
        <rFont val="Arial"/>
        <family val="2"/>
      </rPr>
      <t xml:space="preserve">аймгийн үйлдвэрийн </t>
    </r>
    <r>
      <rPr>
        <sz val="10"/>
        <color indexed="8"/>
        <rFont val="Arial"/>
        <family val="2"/>
      </rPr>
      <t>, ш</t>
    </r>
  </si>
  <si>
    <t xml:space="preserve">Гоймон, дотоод Алтан тариа ХК, нарийн, туузан </t>
  </si>
  <si>
    <r>
      <t xml:space="preserve">Гоймон, гадаад  </t>
    </r>
    <r>
      <rPr>
        <sz val="10"/>
        <color indexed="10"/>
        <rFont val="Arial"/>
        <family val="2"/>
      </rPr>
      <t>Макбур, 450 гр</t>
    </r>
  </si>
  <si>
    <t>Гурил, 2-р зэрэг Алтан тариа, задгай</t>
  </si>
  <si>
    <t>Гурил, 1-р зэрэг Алтан тариа, задгай</t>
  </si>
  <si>
    <t>Гурил, дээд зэрэг Алтан тариа ХК, савласан</t>
  </si>
  <si>
    <t>01.1.1  ТАЛХ, ГУРИЛ, БУДАА</t>
  </si>
  <si>
    <t>01.1 ХYНСНИЙ БАРАА</t>
  </si>
  <si>
    <t>01.   ХYНСНИЙ БАРАА, СОГТУУРУУЛАХ БУС УНДАА</t>
  </si>
  <si>
    <t>Ерөнхий индекс</t>
  </si>
  <si>
    <t>12 сар</t>
  </si>
  <si>
    <t>11 сар</t>
  </si>
  <si>
    <t>10 сар</t>
  </si>
  <si>
    <t>9 сар</t>
  </si>
  <si>
    <t>8 сар</t>
  </si>
  <si>
    <t>7 сар</t>
  </si>
  <si>
    <t>6 сар</t>
  </si>
  <si>
    <t>5 сар</t>
  </si>
  <si>
    <t>4 сар</t>
  </si>
  <si>
    <t>3 сар</t>
  </si>
  <si>
    <t>2 сар</t>
  </si>
  <si>
    <t>1 сар</t>
  </si>
  <si>
    <t>2012 îíû 11 ñàð</t>
  </si>
  <si>
    <t>Зөрүү</t>
  </si>
  <si>
    <t xml:space="preserve">Хүнс, согтууруулах ундаа </t>
  </si>
  <si>
    <t>Хасагдсан</t>
  </si>
  <si>
    <t>ЖИН</t>
  </si>
  <si>
    <t>ÇÀÐÄÀË</t>
  </si>
  <si>
    <t>НЭР ТӨРӨЛ</t>
  </si>
  <si>
    <t>ДОРНОД АЙМГИЙН ХЭРЭГЛЭЭНИЙ БАРАА ҮЙЛЧИЛГЭЭНИЙ САГСНЫ НЭР, ТӨРӨЛ, ҮНЭ</t>
  </si>
  <si>
    <t>/га-гаар/</t>
  </si>
  <si>
    <t>Ñóìûí нэр</t>
  </si>
  <si>
    <t>ãàçðûí</t>
  </si>
  <si>
    <t>àíãèëëûí</t>
  </si>
  <si>
    <t>òºðëººð</t>
  </si>
  <si>
    <t>Õºäºº àæ àõóéí ãàçàð</t>
  </si>
  <si>
    <t>õîò òîñãîí, áóñàä ñóóðèíû ãàçàð</t>
  </si>
  <si>
    <t>çàì, øóãàì ñ¿ëæýýíèé ãàçàð</t>
  </si>
  <si>
    <t>Ойн сан бүхий газар</t>
  </si>
  <si>
    <t>Усны сан бүхий газар</t>
  </si>
  <si>
    <t>Улсын тусгай хэрэгцээний газар</t>
  </si>
  <si>
    <t>Бэлчээрийн газар</t>
  </si>
  <si>
    <t>Хадлангийн талбай</t>
  </si>
  <si>
    <t>Тариалангийн газар, бүгд</t>
  </si>
  <si>
    <t xml:space="preserve">Ү ү н э э с </t>
  </si>
  <si>
    <t>Атаршсан газар</t>
  </si>
  <si>
    <t>Хөдөө аж ахуйн барилга байгууламжийн дэвсгэр газар, бүгд</t>
  </si>
  <si>
    <t>Хөдөө аж ахуйн хэрэгцээнд тохиромжгүй газар</t>
  </si>
  <si>
    <t>Барилга, байгууламжийн дэвсгэр газар, бүгд</t>
  </si>
  <si>
    <t>Нийтийн эдэлбэрийн газар, бүгд</t>
  </si>
  <si>
    <t>Үйлдвэрийн газар, бүгд</t>
  </si>
  <si>
    <t>Уурхайн дэвсгэр газар, бүгд</t>
  </si>
  <si>
    <t>Гэр хорооллын газар, бүгд</t>
  </si>
  <si>
    <t>Автозамын газар, бүгд</t>
  </si>
  <si>
    <t>Төмөр замын газар, бүгд</t>
  </si>
  <si>
    <t>Агаарын тээврийн газар, бүгд</t>
  </si>
  <si>
    <t>Шугам сүлжээний газар, бүгд</t>
  </si>
  <si>
    <t>Усан тээврийн газар,  бүгд</t>
  </si>
  <si>
    <t>Ой модоор бүрхэгдсэн газар /түүний дотор загаар/</t>
  </si>
  <si>
    <t>Ой модыг нь огтолсон газар</t>
  </si>
  <si>
    <t>Мод үржүүлгийн газар</t>
  </si>
  <si>
    <t>Ой тэлэн ургах нөөц газар</t>
  </si>
  <si>
    <t>Ойн сангийн бусад газар</t>
  </si>
  <si>
    <t>Гол мөрний эзлэх газар</t>
  </si>
  <si>
    <t>Нуур, цөөрөм, тойрмын эзлэх газар</t>
  </si>
  <si>
    <t>Горхи, булаг, шандны эзлэх газар</t>
  </si>
  <si>
    <t>Мөнх цас, мөсөн голын эзлэх газар</t>
  </si>
  <si>
    <t>Улсын тусгай хамгаалалттай газар, бүгд</t>
  </si>
  <si>
    <t>Улсын хилийн зурвас газар</t>
  </si>
  <si>
    <t>улсыг батлан хамгаалах болон аюулгүй байдлыг хангах зориулалтаар олгосон газар</t>
  </si>
  <si>
    <t>гадааад улсын дипломат төлөөлөгчийн болон консулын газар, олон улсын байгууллагын төлөөлөгчийн газарт олгосон газар</t>
  </si>
  <si>
    <t>шинжлэх ухаан технологийн сорилт, туршилт болон байгаль орчин, цаг агаарын төлөв байдлын байнгын ажиглалтын талбай</t>
  </si>
  <si>
    <t>аймаг дундын отрын бэлчээр</t>
  </si>
  <si>
    <t>улсын тэжээлийн сангийн хадлангийн талбай</t>
  </si>
  <si>
    <t>бүтээгдхүүн хуваах гэрээний дагуу хайгуулын зориулалтаар ашиглах газрын тосны гэрээт талбай</t>
  </si>
  <si>
    <t>чөлөөт бүсийн газар</t>
  </si>
  <si>
    <t>Мал аж ахуйн үйлдвэрлэлийн зориулалттай</t>
  </si>
  <si>
    <t>Газар тариалангийн үйлдвэрлэлийн зориулалттай</t>
  </si>
  <si>
    <t>Хөдөө аж ахуйн үйлдвэрлэлийн хэрэгцээнд зориулсан бусад газар</t>
  </si>
  <si>
    <t>Иргэн, аж ахуйн нэгж, байгууллагын өмчлөл, эзэмшил, ашиглалтад байгаа барилга, байгууламжийн доорх газар</t>
  </si>
  <si>
    <t>Амралт, рашаан сувиллын газар</t>
  </si>
  <si>
    <t>Иргэн, аж ахуйн нэгж, байгууллагын эзэмшлийн бус амралт, зугаалга, биеийн тамирын зориулалттай болон цэцэрлэгт хүрээлэнгийн газар</t>
  </si>
  <si>
    <t>Гудамж, талбай, замын газар</t>
  </si>
  <si>
    <t>Цэвэрлэх байгууламжийн талбай</t>
  </si>
  <si>
    <t>Оршуулгын газар</t>
  </si>
  <si>
    <t>Хог хаягдлын газар</t>
  </si>
  <si>
    <t>Эзэмшил, ашиглалтад олгогдоогүй сул чөлөөтэй газар</t>
  </si>
  <si>
    <t>Ашигт малтмал олборлож байгаа уурхайн талбай</t>
  </si>
  <si>
    <t xml:space="preserve"> Үйлдвэрлэлийн  зориулалттай барилга, байгууламжийн газар</t>
  </si>
  <si>
    <t>Суурьшлын бүсийн барилга, байгууламжийн газар</t>
  </si>
  <si>
    <t>Гэр, орон сууцны хашааны газар</t>
  </si>
  <si>
    <t>Гэр бүлийн хэрэгцээнд зориулан эзэмшиж байгаа төмс, хүнсний ногооны талбай</t>
  </si>
  <si>
    <t>Улсын чанартай</t>
  </si>
  <si>
    <t>Орон нутгийн чанартай</t>
  </si>
  <si>
    <t>Аж ахуйн нэгж, байгууллагын дотоодын зориулалттай</t>
  </si>
  <si>
    <t>Авто тээврийн барилга, байгууламж, зогсоолын талбай</t>
  </si>
  <si>
    <t>Төмөр замын далангийн талбай, хамгаалалтын зурвас газар</t>
  </si>
  <si>
    <t>Өртөө, зөрлөгийн барилга, байгууламжийн талбай</t>
  </si>
  <si>
    <t>Нислэгийн аюулгүй байдлыг хамгаалах бүсийн газар</t>
  </si>
  <si>
    <t>Барилга байгууламж, төхөөрөмжийн газар</t>
  </si>
  <si>
    <t>Холбооны шугам, холбооны мэдээлэл хүлээн авах станцын эзлэх талбай</t>
  </si>
  <si>
    <t>Эрчим хүчний шугам, станцын эзлэх талбай</t>
  </si>
  <si>
    <t>Ус, дулаан дамжуулах хоолойн эзлэх талбай</t>
  </si>
  <si>
    <t>Ус шахах, өргөх  байгууламжийн доорхи газар</t>
  </si>
  <si>
    <t>Үерээс хамгаалах далан, сувгийн эзлэх талбай</t>
  </si>
  <si>
    <t>Өвөл-хаврын</t>
  </si>
  <si>
    <t>Зун-намрын</t>
  </si>
  <si>
    <t>Үр тариа тариалсан талбай</t>
  </si>
  <si>
    <t>Төмс, хүнсний ногоо тариалсан талбай</t>
  </si>
  <si>
    <t>Тэжээлийн ургамал тариалсан талбай</t>
  </si>
  <si>
    <t>Таримал ургамал, жимс жимсгэнэ тариалсан талбай</t>
  </si>
  <si>
    <t>Уриншилсан талбай</t>
  </si>
  <si>
    <t>Өнжөөсөн талбай</t>
  </si>
  <si>
    <t>Өвөлжөө, хаваржааны доорх газар</t>
  </si>
  <si>
    <t>Дархан цаазат газар</t>
  </si>
  <si>
    <t>Байгалийн цогцолборт газар</t>
  </si>
  <si>
    <t>Байгалийн нөөц газар</t>
  </si>
  <si>
    <t>Дурсгалт газар</t>
  </si>
  <si>
    <t>ДОРНОД АЙМГИЙН ГАЗРЫН НЭГДМЭЛ САНГИЙН МЭДЭЭ  /2012 он/</t>
  </si>
  <si>
    <t>24 à</t>
  </si>
  <si>
    <t>24 á</t>
  </si>
  <si>
    <t>ªðõèéí òîî, /àì á¿ëèéí òîî, ºðõèéí òýðã¿¿ëýã÷èéí õ¿éñýýð/</t>
  </si>
  <si>
    <t>Äîðíîä àéìãèéí  2012 îíû ýöñèéí ºð, àâëàãûí äýëãýðýíã¿é ìýäýý</t>
  </si>
  <si>
    <t>Àìèíû ìàëûí á¿ëýãëýëò</t>
  </si>
  <si>
    <t>2012 îíû ìàë òîîëëîãûí ä¿í</t>
  </si>
  <si>
    <t>42</t>
  </si>
  <si>
    <t>43</t>
  </si>
  <si>
    <t>ÕÀÀ-í ¿éëäâýðëýëä àøèãëàãäàæ áàéãàà ìàøèí, òåõíèê</t>
  </si>
  <si>
    <t>V.ÄÀÀÒÃÀË</t>
  </si>
  <si>
    <t>ЕБС-д àæèëëàã÷äûí òàéëàí</t>
  </si>
  <si>
    <t>Äîðíîä äýýä ñóðãóóëü ñóðàëöàã÷äûí òîî, /ìýðãýæèë, àíãè, õ¿éñýýð/</t>
  </si>
  <si>
    <t>"Òîãòâîðòîé àìüæèðãàà-II" òºñëººñ õèéñýí õºðºíãº îðóóëàëòûí ìýäýý</t>
  </si>
  <si>
    <t>"Òîãòâîðòîé àìüæèðãàà-II" òºñëººñ çàðöóóëñàí, õºðºíãº, ¿ð ä¿íãèéí òàéëàí</t>
  </si>
  <si>
    <t>МИД төслийн хэрэгжилт, /ñóìäààð/</t>
  </si>
  <si>
    <t>I.3</t>
  </si>
  <si>
    <t>I.4</t>
  </si>
  <si>
    <t>I.5</t>
  </si>
  <si>
    <t>I.6</t>
  </si>
  <si>
    <t>I.7</t>
  </si>
  <si>
    <t>III.1</t>
  </si>
  <si>
    <t>III.2</t>
  </si>
  <si>
    <t>III.3</t>
  </si>
  <si>
    <t>III.4</t>
  </si>
  <si>
    <t>III.5</t>
  </si>
  <si>
    <t>III.6</t>
  </si>
  <si>
    <t>III.7</t>
  </si>
  <si>
    <t>III.8</t>
  </si>
  <si>
    <t>III.9</t>
  </si>
  <si>
    <t>III.11</t>
  </si>
  <si>
    <t>III.12</t>
  </si>
  <si>
    <t>III.13</t>
  </si>
  <si>
    <t>III.14</t>
  </si>
  <si>
    <t>III.15</t>
  </si>
  <si>
    <t>III.16</t>
  </si>
  <si>
    <t>IV.1</t>
  </si>
  <si>
    <t>IV.2</t>
  </si>
  <si>
    <t>IV.3</t>
  </si>
  <si>
    <t>IV.4</t>
  </si>
  <si>
    <t>V.1</t>
  </si>
  <si>
    <t>VI.1</t>
  </si>
  <si>
    <t>VI.БОЛОВСРОЛ, СОЁЛ</t>
  </si>
  <si>
    <t>VII.ТӨСӨЛ</t>
  </si>
  <si>
    <t>VIII.ÃÝÌÒ ÕÝÐÝÃ, ÃÀÀËÜ</t>
  </si>
  <si>
    <t>X. ÀÆÈË ÝÐÕËÝËÒ</t>
  </si>
  <si>
    <t>Õýðýãëýýíèé ¿íèéí èíäåêñ, /ñàãñààð/</t>
  </si>
  <si>
    <t>Õàëàìæèéí õýëòñèéí òºñâèéí ã¿éöýòãýëèéí ìýäýý</t>
  </si>
  <si>
    <t>69-70</t>
  </si>
  <si>
    <t>Íèéãìèéí õàëàìæèéí àðãà õýìæýýíä çàðöóóëñàí çàðëàãûí ìýäýý</t>
  </si>
  <si>
    <t>Àæ ¿éëäâýðèéí á¿òýýãäýõ¿¿í ¿éëäâýðëýëò, áîðëóóëàëò</t>
  </si>
  <si>
    <t>Õàðèëöàà õîëáîî, òýýâðèéí ñàëáàðûí ã¿éöýòãýë</t>
  </si>
  <si>
    <t>Ãàçðûí íýãäìýë ñàíãèéí ìýäýý</t>
  </si>
  <si>
    <t>78-81</t>
  </si>
  <si>
    <t>VI.2</t>
  </si>
  <si>
    <t>VI.3</t>
  </si>
  <si>
    <t>VI.4</t>
  </si>
  <si>
    <t>VI.5</t>
  </si>
  <si>
    <t>VI.6</t>
  </si>
  <si>
    <t>VI.7</t>
  </si>
  <si>
    <t>VII.1</t>
  </si>
  <si>
    <t>VII.2</t>
  </si>
  <si>
    <t>VII.3</t>
  </si>
  <si>
    <t>VIII.1</t>
  </si>
  <si>
    <t>VIII.2</t>
  </si>
  <si>
    <t>IX. ¯ÍÝ</t>
  </si>
  <si>
    <t>IX.1</t>
  </si>
  <si>
    <t>X.1</t>
  </si>
  <si>
    <t>X.2</t>
  </si>
  <si>
    <t>X.3</t>
  </si>
  <si>
    <t>X.4</t>
  </si>
  <si>
    <t>X.5</t>
  </si>
  <si>
    <t>X.6</t>
  </si>
  <si>
    <t>X.7</t>
  </si>
  <si>
    <t>X.8</t>
  </si>
  <si>
    <t>X.9</t>
  </si>
  <si>
    <t>61-62</t>
  </si>
  <si>
    <t>Ìàëæóóëàëòàíä
õàìðàãäñàí</t>
  </si>
  <si>
    <t>Íèéò çàðöóóëñàí
õºðºíãèéí õýìæýý</t>
  </si>
  <si>
    <t>Ãàäààä îðîí ÎÓÁ-ûí
òºñºë, õºòºëáºðèéí
õºðºíãººð</t>
  </si>
  <si>
    <t>Îðîí íóòãèéí
õºðºíãººð</t>
  </si>
  <si>
    <t>Ìàëæóóëàëòààð 
àâñàí ìàëûí òîî</t>
  </si>
  <si>
    <t>Áîäûí</t>
  </si>
  <si>
    <t>Áîãèéí</t>
  </si>
  <si>
    <t>ªðõèéí òîî</t>
  </si>
  <si>
    <t>Àì á¿ë</t>
  </si>
  <si>
    <t>¹</t>
  </si>
  <si>
    <t>Íàñ</t>
  </si>
  <si>
    <t>Òåõíèêèéí áîëîâñðîë</t>
  </si>
  <si>
    <t>Ìýðãýæëèéí áîëîâñðîë</t>
  </si>
  <si>
    <t>Ìýðãýæëèéí ñóðãàëò</t>
  </si>
  <si>
    <t>Ãàäààäûí õàðúÿàò</t>
  </si>
  <si>
    <t>Õºãæëèéí áýðõøýýëòýé, á¿ãä</t>
  </si>
  <si>
    <t>Õàðààíû</t>
  </si>
  <si>
    <t>ßðèàíû</t>
  </si>
  <si>
    <t>Ñîíñãîëûí</t>
  </si>
  <si>
    <t>Õºäºëãººíèé</t>
  </si>
  <si>
    <t>Ñýòãýöèéí</t>
  </si>
  <si>
    <t>Øèíýýð ýëñýã÷èä</t>
  </si>
  <si>
    <t>&lt;14</t>
  </si>
  <si>
    <t>25-29</t>
  </si>
  <si>
    <t>30-34</t>
  </si>
  <si>
    <t>35-39</t>
  </si>
  <si>
    <t>39&lt;</t>
  </si>
  <si>
    <t>ÏÎËÈÒÅÕÍÈÊÈÉÍ ÁÎËÎÍ ÌÝÐÃÝÆËÈÉÍ ÁÎËÎÂÑÐÎËÛÍ ÑÓÐÃÀËÒÛÍ ÁÀÉÃÓÓËËÀÃÀÄ ÑÓÐÀËÖÀÃ×ÄÛÍ 
2012-2013 ÎÍÛ ÕÈ×ÝÝËÈÉÍ ÆÈËÈÉÍ ÌÝÄÝÝ</t>
  </si>
  <si>
    <t>ÏÎËÈÒÅÕÍÈÊÈÉÍ ÁÎËÎÍ ÌÝÐÃÝÆËÈÉÍ ÁÎËÎÂÑÐÎËÛÍ ÑÓÐÃÀËÒÛÍ ÁÀÉÃÓÓËËÀÃÀÄ ÑÓÐÀËÖÀÃ×ÄÛÍ 2012-2013 ÎÍÛ ÕÈ×ÝÝËÈÉÍ ÆÈËÈÉÍ
 ØÈËÆÈËÒ,ÕªÄªËÃªªÍÈÉ ÌÝÄÝÝ</t>
  </si>
  <si>
    <t>Àíãè</t>
  </si>
  <si>
    <t>ªíãºðñºí õè÷ýýëèéí æèë</t>
  </si>
  <si>
    <t>Ýíý õè÷ýýëèéí æèë</t>
  </si>
  <si>
    <t>Òàéëàíò õóãàöààíû ýõýíä</t>
  </si>
  <si>
    <t>Òàéëàíò õóãàöààíä íýìýãäñýí</t>
  </si>
  <si>
    <t>Íýìýãäñýí øàëòãààíààð</t>
  </si>
  <si>
    <t>Øèíýýð ýëññýí</t>
  </si>
  <si>
    <t>Äýâøèí ñóðàëöàæ áàéãàà</t>
  </si>
  <si>
    <t>ªºð ñóðãóóëèàñ øèëæèí èðñýí</t>
  </si>
  <si>
    <t>Ãàäààäààñ øèëæèí èðñýí</t>
  </si>
  <si>
    <t>ªâ÷íèé óëìààñ ÷ºëºº àâñàí</t>
  </si>
  <si>
    <t>Òàéëàíò õóãàöààíä õàñàãäñàí</t>
  </si>
  <si>
    <t>Õàñàãäñàí øàëòãààí</t>
  </si>
  <si>
    <t>Ñóðãóóëü òºãññºí</t>
  </si>
  <si>
    <t>ªºð ñóðãóóëüä øèëæñýí</t>
  </si>
  <si>
    <t>ªâ÷íèé óëìààñ</t>
  </si>
  <si>
    <t>Ñóðëàãà áîëîí ñàõèëãààð</t>
  </si>
  <si>
    <t>Òàéëàíò õóãàöààíû ýöýñò</t>
  </si>
  <si>
    <t>Òåõíèêèéí 
áîëîâñðîë</t>
  </si>
  <si>
    <t>Ìýðãýæëèéí 
áîëîâñðîë</t>
  </si>
  <si>
    <t>Ïîëèòåõíèêèéí áîëîí ìýðãýæëèéí ñóðãàëòûí áàéãóóëëàãàä ñóðàëöàã÷äûí ìýäýý</t>
  </si>
  <si>
    <t>X.10</t>
  </si>
  <si>
    <t>X.11</t>
  </si>
  <si>
    <t>84</t>
  </si>
  <si>
    <t>X.12</t>
  </si>
  <si>
    <t>2012 îíä ìàëæóóëàëòûí òàëààð àâñàí àðãà õýìæýýíèé òàéëàí</t>
  </si>
  <si>
    <t>Øèíý àæëûí áàéðàíä îðñîí èðãýäèéí ìýäýý</t>
  </si>
  <si>
    <t>Á¿ðòãýëòýé àæèëã¿é èðãýíèé õºäºëãººíèé 2012 îíû ìýäýý</t>
  </si>
  <si>
    <t>III.10</t>
  </si>
  <si>
    <t>Á¯Õ ÌÀËÀÀÑ ÕÝÝËÒÝÃ× ÌÀË</t>
  </si>
  <si>
    <t>Á¯Õ ÌÀËÄ ÕÝÝËÒÝÃ×ÈÉÍ ÝÇËÝÕ ÕÓÂÈÉÍ ÆÈÍ</t>
  </si>
  <si>
    <t>Á¯Õ ÌÀËÀÀÑ ÀËÁÀÍ ÃÀÇÐÛÍ ÌÀË</t>
  </si>
  <si>
    <t>ÍÈÉÒ ÌÀËÀÀÑ ÀÌÈÍÛ ÌÀË</t>
  </si>
  <si>
    <t>ÍÈÉÒ ÌÀËÄ ÀÌÈÍÛ ÌÀËÛÍ ÝÇËÝÕ ÕÓÂÈÉÍ ÆÈÍ</t>
  </si>
  <si>
    <t>ÄÎÐÍÎÄ ÀÉÌÃÈÉÍ ÌÀË ÒÎÎËËÎÃÛÍ ÇÎÕÈÎÍ ÁÀÉÃÓÓËÀËÒ</t>
  </si>
  <si>
    <t xml:space="preserve">ХАЛАМЖИЙН ХЭЛТСИЙН 2012 ОНЫ  12- Ð САРЫН ТӨСВИЙН ГҮЙЦЭТГЭЛИЙН МЭДЭЭ </t>
  </si>
  <si>
    <t>ХАА-н ¯ÉËÄÂÝÐËÝËÄ ÀØÈÃËÀÃÄÀÆ ÁÀÉÃÀÀ ÌÀØÈÍ ÒÅÕÍÈÊ</t>
  </si>
  <si>
    <t>2012 ÎÍÄ ÌÀËÆÓÓËÀËÒÛÍ ÒÀËÀÀÐ ÀÂÑÀÍ ÀÐÃÀ ÕÝÌÆÝÝÍÈÉ ÒÀÉËÀÍ</t>
  </si>
  <si>
    <t xml:space="preserve"> ÄÎÐÍÎÄ ÀÉÌÀÃ, ÍÈÉÑËÝËÈÉÍ ÅÁÑ-Ä ªÄÐªªÐ ÑÓÐÀËÖÀÃ×ÄÈÉÍ 2011-2012  ÎÍÛ ÕÈ×ÝÝËÈÉÍ ÆÈËÈÉÍ ÒÀÉËÀÍ</t>
  </si>
  <si>
    <t>(ñóðãóóëèéí ºì÷èéí õýëáýð, àíãè, õ¿éñ)</t>
  </si>
  <si>
    <t xml:space="preserve"> Ñóðãóóëèéí íýðñ</t>
  </si>
  <si>
    <t>Áàãà áîëîâñðîë</t>
  </si>
  <si>
    <t>Ñóóðü áîëîâñðîë</t>
  </si>
  <si>
    <t>Á¿ðýí äóíä áîëîâñðîë</t>
  </si>
  <si>
    <t>VII(шил)</t>
  </si>
  <si>
    <t>VIII(12) àíãè</t>
  </si>
  <si>
    <t xml:space="preserve"> Á¿ãä</t>
  </si>
  <si>
    <t>28</t>
  </si>
  <si>
    <t>29</t>
  </si>
  <si>
    <t>Төрийн бус өмчийн
 нийт дүн</t>
  </si>
  <si>
    <t>Төрийн өмчийн
 нийт дүн</t>
  </si>
  <si>
    <t xml:space="preserve"> ßëàëò áàã 
/Õàëõ ãîë ñóì/</t>
  </si>
  <si>
    <t>Яïîíû õ¿¿õäèéã èâýýõ ñàíãийн мэдээ</t>
  </si>
  <si>
    <t>Àæèëã¿é èðãýí /õóãàöààíû ýöýñò/</t>
  </si>
  <si>
    <t>Зүүн бүс</t>
  </si>
  <si>
    <t>ХҮН АМЫН ТОО НАСААР ÑÓÌÄÀÀÐ</t>
  </si>
  <si>
    <t>ХҮН АМЫН ТОО НАСААР ÑÓÌÄÀÀÐ, Õ¯ÉÑÝÝÐ</t>
  </si>
  <si>
    <t>ÝÐÝÃÒÝÉ</t>
  </si>
  <si>
    <t>ÝÌÝÃÒÝÉ</t>
  </si>
  <si>
    <t xml:space="preserve">  Äүí</t>
  </si>
  <si>
    <t>0-4</t>
  </si>
  <si>
    <t>5-9</t>
  </si>
  <si>
    <t>10-14</t>
  </si>
  <si>
    <t>15-19</t>
  </si>
  <si>
    <t>20-24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</si>
  <si>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</si>
  <si>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</si>
  <si>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</si>
  <si>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</si>
  <si>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</si>
  <si>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</si>
  <si>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</si>
  <si>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</si>
  <si>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</si>
  <si>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</si>
  <si>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</si>
  <si>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</si>
  <si>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</si>
  <si>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ÑÓÓÐÈÍ Õ¯Í ÀÌ, ªÐÕÈÉÍ ÒÎÎ ÑÓÌÄÀÀÐ</t>
  </si>
  <si>
    <t>2013.01.05-ны байдлаар</t>
  </si>
  <si>
    <t>Аймаг, сумаг</t>
  </si>
  <si>
    <t>БҮХ ХҮН АМ</t>
  </si>
  <si>
    <t>Өрх - Бүгд</t>
  </si>
  <si>
    <t>Эрэгтэй</t>
  </si>
  <si>
    <t>Нийслэл, аймгийн төвд</t>
  </si>
  <si>
    <t>Сумын төвд</t>
  </si>
  <si>
    <t>Хөдөөд</t>
  </si>
  <si>
    <t>Хот, тосгонд</t>
  </si>
  <si>
    <t>2010 îíä</t>
  </si>
  <si>
    <t xml:space="preserve"> 2009 îíä </t>
  </si>
  <si>
    <t xml:space="preserve"> ÑÓÓÐÈÍ Õ¯Í ÀÌÛÍ ÒÎÎ, ХӨДӨЛМӨРИЙН НАСНЫ ХҮН АМ íàñíû á¿òýö, ñóìààð</t>
  </si>
  <si>
    <t xml:space="preserve">Ñóì
</t>
  </si>
  <si>
    <t xml:space="preserve">¯¿íýýñ: íàñíû á¿ëýã
</t>
  </si>
  <si>
    <t>Хөдөлмөрийн насны хүн ам</t>
  </si>
  <si>
    <t>0-14</t>
  </si>
  <si>
    <t>15-59</t>
  </si>
  <si>
    <t>60 +</t>
  </si>
  <si>
    <t>18-59</t>
  </si>
  <si>
    <t>18-54</t>
  </si>
  <si>
    <t>Ýр</t>
  </si>
  <si>
    <t>Õ¯Í ÀÌÛÍ ÒÎÎ, îíû ýöýñò, õ¿éñýýð</t>
  </si>
  <si>
    <t>ÕÎÒ ÕªÄªªÃÈÉÍ Õ¯Í ÀÌ, õ¿éñýýð</t>
  </si>
  <si>
    <t xml:space="preserve">Õ¿í àì, ìÿí.õ¿í
</t>
  </si>
  <si>
    <t xml:space="preserve">ýðýãòýé
</t>
  </si>
  <si>
    <t xml:space="preserve">ýìýãòýé
</t>
  </si>
  <si>
    <t xml:space="preserve">Á¿ãä
</t>
  </si>
  <si>
    <t>Ýðýãòýé</t>
  </si>
  <si>
    <t>ýìýãòýé</t>
  </si>
  <si>
    <t>Õºäºº</t>
  </si>
  <si>
    <t>ХҮН АМЫН ХҮЙСИЙН ХАРЬЦАА, 2006-2012 он</t>
  </si>
  <si>
    <r>
      <t>îí</t>
    </r>
    <r>
      <rPr>
        <i/>
        <sz val="9"/>
        <rFont val="Arial"/>
        <family val="2"/>
      </rPr>
      <t xml:space="preserve">
</t>
    </r>
  </si>
  <si>
    <r>
      <t>Õ¿éñèéí
õàðüöàà</t>
    </r>
    <r>
      <rPr>
        <i/>
        <sz val="9"/>
        <rFont val="Arial"/>
        <family val="2"/>
      </rPr>
      <t xml:space="preserve">
</t>
    </r>
  </si>
  <si>
    <t xml:space="preserve"> Òàõèð äóòóó õ¿íèé òîî</t>
  </si>
  <si>
    <t>Òàõèð äóòóó õ¿íèé òîî, ñóì, ä¿¿ðýã, õ¿éñ, øàëòãààíààð</t>
  </si>
  <si>
    <t>Ñóì, ä¿¿ðãèéí íýð</t>
  </si>
  <si>
    <t>¿¿íýýñ: ýìýãòýé</t>
  </si>
  <si>
    <t>Y¿íýýñ: øàëòãààíààð</t>
  </si>
  <si>
    <t>Òºðºëõèéí</t>
  </si>
  <si>
    <t>Îëäìîë</t>
  </si>
  <si>
    <t>Îñîë ãýìòëýýð</t>
  </si>
  <si>
    <t>Åðäèéí 
ºâ÷èí</t>
  </si>
  <si>
    <t>ÌØª</t>
  </si>
  <si>
    <t>Àõóéí 
îñîë</t>
  </si>
  <si>
    <t>Yéëäâý
-ðèéí îñîë</t>
  </si>
  <si>
    <t>Äîðíîä</t>
  </si>
  <si>
    <t>ӨРХИЙН ТОО, ам бүлийн тоо, өрхийн тэргүүлэгчийн хүйсээр</t>
  </si>
  <si>
    <t>Аймаг, ñóì</t>
  </si>
  <si>
    <t>Ам бүлийн тоогоор</t>
  </si>
  <si>
    <t>1 ам бүлтэй</t>
  </si>
  <si>
    <t>2 ам бүлтэй</t>
  </si>
  <si>
    <t>3 ам бүлтэй</t>
  </si>
  <si>
    <t>4 ам бүлтэй</t>
  </si>
  <si>
    <t>5 ам бүлтэй</t>
  </si>
  <si>
    <t>6 ам бүлтэй</t>
  </si>
  <si>
    <t>7 ам бүлтэй</t>
  </si>
  <si>
    <t>8 ам бүлтэй</t>
  </si>
  <si>
    <t>9 ам бүлтэй</t>
  </si>
  <si>
    <t>10,+ ам бүлтэй</t>
  </si>
  <si>
    <t xml:space="preserve">  Ä¯Í</t>
  </si>
  <si>
    <t>Аймаг, 
нийслэл</t>
  </si>
  <si>
    <t>Бүтэн өнчин 
хүүхдийн тоо</t>
  </si>
  <si>
    <t>Хагас өнчин 
хүүхдийн тоо</t>
  </si>
  <si>
    <t>16 хүртэлх насны гэр бүлгүй хүний тоо</t>
  </si>
  <si>
    <t>Өрх толгойлсон
 хүний тоо</t>
  </si>
  <si>
    <t>Өрх толгойлсон эмэгтэйчүүдийн тоо</t>
  </si>
  <si>
    <t>8 ба түүнээс дээш ам бүлтэй өрхийн тоо</t>
  </si>
  <si>
    <t>16 хүртэлх насны 4 ба түүнээс дээш насны хүүхэдтэй өрхийн тоо</t>
  </si>
  <si>
    <t>Хөгжлийн 
бэрхшээлтэй 
хүний тоо</t>
  </si>
  <si>
    <t>Говь-Алтай</t>
  </si>
  <si>
    <t>Улсын дүн</t>
  </si>
  <si>
    <t>ªÐÕ Õ¯Í ÀÌ, ÍÈÉÃÌÈÉÍ ÇÀÐÈÌ ¯Ç¯¯ËÝËÒÈÉÍ ÒÀÉËÀÍ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</si>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</sst>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"/>
    <numFmt numFmtId="167" formatCode="&quot;True&quot;;&quot;True&quot;;&quot;False&quot;"/>
    <numFmt numFmtId="168" formatCode="_(* #,##0.0_);_(* \(#,##0.0\);_(* &quot;-&quot;??_);_(@_)"/>
    <numFmt numFmtId="169" formatCode="0.0000"/>
    <numFmt numFmtId="170" formatCode="#\ ###.0"/>
    <numFmt numFmtId="171" formatCode="0.0_)"/>
    <numFmt numFmtId="172" formatCode="0.0000_)"/>
    <numFmt numFmtId="173" formatCode="##########0.0"/>
    <numFmt numFmtId="174" formatCode="##########0.00"/>
    <numFmt numFmtId="175" formatCode="##########0.00000"/>
    <numFmt numFmtId="176" formatCode="#,##0.00000"/>
    <numFmt numFmtId="177" formatCode="#\ ##0"/>
  </numFmts>
  <fonts count="122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Book Antiqua"/>
      <family val="1"/>
    </font>
    <font>
      <b/>
      <sz val="10"/>
      <name val="Danzan Arial"/>
      <family val="2"/>
    </font>
    <font>
      <sz val="10"/>
      <name val="Danzan Arial"/>
      <family val="2"/>
    </font>
    <font>
      <sz val="10"/>
      <name val="Danzan Times New Roman"/>
      <family val="2"/>
    </font>
    <font>
      <b/>
      <sz val="10"/>
      <name val="Danzan Times New Roman"/>
      <family val="2"/>
    </font>
    <font>
      <sz val="12"/>
      <name val="Danzan Arial"/>
      <family val="2"/>
    </font>
    <font>
      <sz val="12"/>
      <name val="Dutch Mon"/>
      <family val="2"/>
    </font>
    <font>
      <b/>
      <sz val="12"/>
      <name val="Danzan Arial"/>
      <family val="2"/>
    </font>
    <font>
      <sz val="10"/>
      <name val="Danzan Times New Roman"/>
      <family val="2"/>
    </font>
    <font>
      <sz val="12"/>
      <name val="Danzan Times New Roman"/>
      <family val="2"/>
    </font>
    <font>
      <sz val="12"/>
      <name val="Danzan Arial"/>
      <family val="2"/>
    </font>
    <font>
      <sz val="11"/>
      <name val="Danzan Arial"/>
      <family val="2"/>
    </font>
    <font>
      <sz val="12"/>
      <name val="Book Antiqua"/>
      <family val="1"/>
    </font>
    <font>
      <sz val="10"/>
      <name val="Times New Roman"/>
      <family val="1"/>
    </font>
    <font>
      <sz val="10"/>
      <name val="Arial Mon"/>
      <family val="2"/>
    </font>
    <font>
      <sz val="14"/>
      <name val="Danzan Arial"/>
      <family val="2"/>
    </font>
    <font>
      <sz val="12"/>
      <name val="Arial Mon"/>
      <family val="2"/>
    </font>
    <font>
      <sz val="8"/>
      <name val="Arial Mon"/>
      <family val="2"/>
    </font>
    <font>
      <sz val="9"/>
      <name val="Arial Mon"/>
      <family val="2"/>
    </font>
    <font>
      <b/>
      <sz val="9"/>
      <name val="Arial Mon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 Mon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vertAlign val="subscript"/>
      <sz val="14"/>
      <name val="Arial"/>
      <family val="2"/>
    </font>
    <font>
      <b/>
      <vertAlign val="subscript"/>
      <sz val="14"/>
      <name val="Arial"/>
      <family val="2"/>
    </font>
    <font>
      <b/>
      <i/>
      <sz val="12"/>
      <name val="Arial Mon"/>
      <family val="2"/>
    </font>
    <font>
      <sz val="10"/>
      <color indexed="12"/>
      <name val="Arial"/>
      <family val="2"/>
    </font>
    <font>
      <b/>
      <sz val="12"/>
      <color indexed="14"/>
      <name val="Arial Mon"/>
      <family val="2"/>
    </font>
    <font>
      <b/>
      <sz val="18"/>
      <color indexed="12"/>
      <name val="Arial Mon"/>
      <family val="2"/>
    </font>
    <font>
      <b/>
      <i/>
      <sz val="12"/>
      <color indexed="12"/>
      <name val="Arial Mon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 Mon"/>
      <family val="2"/>
    </font>
    <font>
      <b/>
      <sz val="9"/>
      <name val="Arial"/>
      <family val="2"/>
    </font>
    <font>
      <b/>
      <sz val="14"/>
      <name val="Arial"/>
      <family val="2"/>
    </font>
    <font>
      <u/>
      <sz val="12"/>
      <name val="Arial"/>
      <family val="2"/>
    </font>
    <font>
      <u/>
      <sz val="10"/>
      <name val="Arial"/>
      <family val="2"/>
    </font>
    <font>
      <b/>
      <sz val="10"/>
      <color indexed="18"/>
      <name val="Arial"/>
      <family val="2"/>
    </font>
    <font>
      <b/>
      <sz val="10"/>
      <name val="Arial Mon"/>
      <family val="2"/>
    </font>
    <font>
      <sz val="10"/>
      <color indexed="10"/>
      <name val="Arial Mon"/>
      <family val="2"/>
    </font>
    <font>
      <sz val="10"/>
      <color indexed="12"/>
      <name val="Arial Mon"/>
      <family val="2"/>
    </font>
    <font>
      <sz val="10"/>
      <color indexed="17"/>
      <name val="Arial Mon"/>
      <family val="2"/>
    </font>
    <font>
      <sz val="9"/>
      <color indexed="10"/>
      <name val="Arial"/>
      <family val="2"/>
    </font>
    <font>
      <sz val="9"/>
      <color indexed="12"/>
      <name val="Arial"/>
      <family val="2"/>
    </font>
    <font>
      <sz val="11"/>
      <name val="Calibri"/>
      <family val="2"/>
    </font>
    <font>
      <sz val="7"/>
      <name val="Arial"/>
      <family val="2"/>
    </font>
    <font>
      <sz val="10"/>
      <name val="Calibri"/>
      <family val="2"/>
    </font>
    <font>
      <b/>
      <sz val="12"/>
      <name val="Arial Mon"/>
      <family val="2"/>
    </font>
    <font>
      <sz val="10"/>
      <name val="Mongol"/>
      <family val="1"/>
    </font>
    <font>
      <b/>
      <sz val="12"/>
      <name val="Danzan Times New Roman"/>
      <family val="2"/>
    </font>
    <font>
      <sz val="10"/>
      <name val="Danzan Times New Roman"/>
    </font>
    <font>
      <vertAlign val="subscript"/>
      <sz val="11"/>
      <name val="Arial"/>
      <family val="2"/>
    </font>
    <font>
      <sz val="11"/>
      <color indexed="8"/>
      <name val="Calibri"/>
      <family val="2"/>
    </font>
    <font>
      <sz val="11"/>
      <color indexed="8"/>
      <name val="Arial Mon"/>
      <family val="2"/>
    </font>
    <font>
      <sz val="11"/>
      <name val="Arial Mon"/>
      <family val="2"/>
    </font>
    <font>
      <i/>
      <sz val="10"/>
      <color indexed="12"/>
      <name val="Arial Mon"/>
      <family val="2"/>
    </font>
    <font>
      <i/>
      <sz val="10"/>
      <name val="Arial Mon"/>
      <family val="2"/>
    </font>
    <font>
      <b/>
      <sz val="10"/>
      <color indexed="17"/>
      <name val="Arial Mon"/>
      <family val="2"/>
    </font>
    <font>
      <sz val="10"/>
      <name val="Arial"/>
      <family val="2"/>
      <charset val="204"/>
    </font>
    <font>
      <b/>
      <i/>
      <sz val="10"/>
      <name val="Arial Mon"/>
      <family val="2"/>
    </font>
    <font>
      <b/>
      <i/>
      <sz val="10"/>
      <color indexed="17"/>
      <name val="Arial Mon"/>
      <family val="2"/>
    </font>
    <font>
      <b/>
      <sz val="10"/>
      <color indexed="10"/>
      <name val="Arial Mon"/>
      <family val="2"/>
    </font>
    <font>
      <sz val="10"/>
      <name val="Courier"/>
      <family val="1"/>
      <charset val="204"/>
    </font>
    <font>
      <b/>
      <sz val="11"/>
      <name val="Arial Mon"/>
      <family val="2"/>
    </font>
    <font>
      <b/>
      <sz val="11"/>
      <color indexed="8"/>
      <name val="Arial Mon"/>
      <family val="2"/>
    </font>
    <font>
      <vertAlign val="superscript"/>
      <sz val="10"/>
      <color indexed="8"/>
      <name val="Arial"/>
      <family val="2"/>
    </font>
    <font>
      <sz val="12"/>
      <name val="Danzan Times New Roman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 Mon"/>
      <family val="2"/>
    </font>
    <font>
      <b/>
      <sz val="10"/>
      <color theme="1"/>
      <name val="Arial Mon"/>
      <family val="2"/>
    </font>
    <font>
      <sz val="10"/>
      <color rgb="FF0000FF"/>
      <name val="Arial"/>
      <family val="2"/>
    </font>
    <font>
      <sz val="11"/>
      <color rgb="FF000000"/>
      <name val="Arial Mon"/>
      <family val="2"/>
    </font>
    <font>
      <sz val="10"/>
      <color rgb="FF000000"/>
      <name val="Arial"/>
      <family val="2"/>
    </font>
    <font>
      <sz val="11"/>
      <color rgb="FF0000FF"/>
      <name val="Arial Mon"/>
      <family val="2"/>
    </font>
    <font>
      <b/>
      <sz val="11"/>
      <color rgb="FF008000"/>
      <name val="Arial Mon"/>
      <family val="2"/>
    </font>
    <font>
      <sz val="10"/>
      <color rgb="FFFF0000"/>
      <name val="Arial Mon"/>
      <family val="2"/>
    </font>
    <font>
      <sz val="10"/>
      <color rgb="FF000000"/>
      <name val="Arial Mon"/>
      <family val="2"/>
    </font>
    <font>
      <b/>
      <sz val="11"/>
      <color rgb="FF000000"/>
      <name val="Arial Mon"/>
      <family val="2"/>
    </font>
    <font>
      <sz val="10"/>
      <color rgb="FFFF0000"/>
      <name val="Arial"/>
      <family val="2"/>
    </font>
    <font>
      <b/>
      <sz val="10"/>
      <color rgb="FF008000"/>
      <name val="Arial"/>
      <family val="2"/>
    </font>
    <font>
      <sz val="10"/>
      <color rgb="FF0000FF"/>
      <name val="Arial Mon"/>
      <family val="2"/>
    </font>
    <font>
      <b/>
      <sz val="10"/>
      <color rgb="FF008000"/>
      <name val="Arial Mon"/>
      <family val="2"/>
    </font>
    <font>
      <i/>
      <sz val="10"/>
      <color rgb="FF0000FF"/>
      <name val="Arial"/>
      <family val="2"/>
    </font>
    <font>
      <b/>
      <i/>
      <sz val="10"/>
      <color rgb="FF008000"/>
      <name val="Arial"/>
      <family val="2"/>
    </font>
    <font>
      <b/>
      <sz val="11"/>
      <color rgb="FFFF0000"/>
      <name val="Arial Mon"/>
      <family val="2"/>
    </font>
    <font>
      <b/>
      <sz val="10"/>
      <color rgb="FF000000"/>
      <name val="Arial"/>
      <family val="2"/>
    </font>
    <font>
      <sz val="9"/>
      <color theme="1"/>
      <name val="Arial Mon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800000"/>
      <name val="Arial"/>
      <family val="2"/>
    </font>
    <font>
      <b/>
      <sz val="8"/>
      <color rgb="FF00000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1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9A6E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152"/>
      </left>
      <right style="thin">
        <color rgb="FF002152"/>
      </right>
      <top style="thin">
        <color rgb="FF002152"/>
      </top>
      <bottom style="thin">
        <color rgb="FF00215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2152"/>
      </left>
      <right/>
      <top style="thin">
        <color rgb="FF002152"/>
      </top>
      <bottom style="thin">
        <color rgb="FF002152"/>
      </bottom>
      <diagonal/>
    </border>
  </borders>
  <cellStyleXfs count="217">
    <xf numFmtId="0" fontId="0" fillId="0" borderId="0"/>
    <xf numFmtId="0" fontId="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6" fontId="7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4" fillId="0" borderId="0"/>
    <xf numFmtId="167" fontId="75" fillId="0" borderId="0"/>
    <xf numFmtId="0" fontId="41" fillId="0" borderId="0"/>
    <xf numFmtId="0" fontId="1" fillId="0" borderId="0"/>
    <xf numFmtId="0" fontId="24" fillId="0" borderId="0"/>
    <xf numFmtId="167" fontId="75" fillId="0" borderId="0"/>
    <xf numFmtId="0" fontId="1" fillId="0" borderId="0"/>
  </cellStyleXfs>
  <cellXfs count="2063">
    <xf numFmtId="0" fontId="0" fillId="0" borderId="0" xfId="0"/>
    <xf numFmtId="0" fontId="34" fillId="0" borderId="0" xfId="44" applyFont="1" applyBorder="1" applyAlignment="1">
      <alignment horizontal="center" wrapText="1"/>
    </xf>
    <xf numFmtId="0" fontId="6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0" borderId="6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164" fontId="15" fillId="0" borderId="11" xfId="0" applyNumberFormat="1" applyFont="1" applyBorder="1" applyAlignment="1">
      <alignment vertical="center"/>
    </xf>
    <xf numFmtId="164" fontId="15" fillId="0" borderId="10" xfId="0" applyNumberFormat="1" applyFont="1" applyBorder="1" applyAlignment="1">
      <alignment vertical="center"/>
    </xf>
    <xf numFmtId="164" fontId="15" fillId="0" borderId="12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13" xfId="0" applyFont="1" applyBorder="1" applyAlignment="1">
      <alignment vertical="center"/>
    </xf>
    <xf numFmtId="164" fontId="15" fillId="0" borderId="11" xfId="0" quotePrefix="1" applyNumberFormat="1" applyFont="1" applyBorder="1" applyAlignment="1">
      <alignment vertical="center"/>
    </xf>
    <xf numFmtId="164" fontId="15" fillId="0" borderId="13" xfId="0" applyNumberFormat="1" applyFont="1" applyBorder="1" applyAlignment="1">
      <alignment vertical="center"/>
    </xf>
    <xf numFmtId="164" fontId="15" fillId="0" borderId="14" xfId="0" applyNumberFormat="1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164" fontId="15" fillId="0" borderId="16" xfId="0" applyNumberFormat="1" applyFont="1" applyBorder="1" applyAlignment="1">
      <alignment vertical="center"/>
    </xf>
    <xf numFmtId="164" fontId="15" fillId="0" borderId="15" xfId="0" applyNumberFormat="1" applyFont="1" applyBorder="1" applyAlignment="1">
      <alignment vertical="center"/>
    </xf>
    <xf numFmtId="164" fontId="15" fillId="0" borderId="17" xfId="0" applyNumberFormat="1" applyFont="1" applyBorder="1" applyAlignment="1">
      <alignment vertical="center"/>
    </xf>
    <xf numFmtId="164" fontId="15" fillId="0" borderId="7" xfId="0" applyNumberFormat="1" applyFont="1" applyBorder="1" applyAlignment="1">
      <alignment vertical="center"/>
    </xf>
    <xf numFmtId="164" fontId="15" fillId="0" borderId="18" xfId="0" applyNumberFormat="1" applyFont="1" applyBorder="1" applyAlignment="1">
      <alignment vertical="center"/>
    </xf>
    <xf numFmtId="164" fontId="15" fillId="0" borderId="19" xfId="0" applyNumberFormat="1" applyFont="1" applyBorder="1" applyAlignment="1">
      <alignment vertical="center"/>
    </xf>
    <xf numFmtId="164" fontId="15" fillId="0" borderId="20" xfId="0" applyNumberFormat="1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164" fontId="15" fillId="0" borderId="4" xfId="0" applyNumberFormat="1" applyFont="1" applyBorder="1" applyAlignment="1">
      <alignment vertical="center"/>
    </xf>
    <xf numFmtId="164" fontId="12" fillId="0" borderId="4" xfId="0" applyNumberFormat="1" applyFont="1" applyBorder="1" applyAlignment="1">
      <alignment vertical="center"/>
    </xf>
    <xf numFmtId="164" fontId="15" fillId="0" borderId="21" xfId="0" applyNumberFormat="1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Alignment="1">
      <alignment vertical="center"/>
    </xf>
    <xf numFmtId="164" fontId="3" fillId="0" borderId="11" xfId="0" applyNumberFormat="1" applyFont="1" applyBorder="1" applyAlignment="1">
      <alignment vertic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4" fontId="3" fillId="0" borderId="12" xfId="0" applyNumberFormat="1" applyFont="1" applyBorder="1" applyAlignment="1">
      <alignment vertical="center"/>
    </xf>
    <xf numFmtId="164" fontId="3" fillId="0" borderId="19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164" fontId="1" fillId="0" borderId="11" xfId="0" applyNumberFormat="1" applyFont="1" applyBorder="1" applyAlignment="1">
      <alignment vertical="center"/>
    </xf>
    <xf numFmtId="164" fontId="15" fillId="0" borderId="23" xfId="0" applyNumberFormat="1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164" fontId="15" fillId="0" borderId="25" xfId="0" applyNumberFormat="1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164" fontId="15" fillId="0" borderId="27" xfId="0" applyNumberFormat="1" applyFont="1" applyBorder="1" applyAlignment="1">
      <alignment vertical="center"/>
    </xf>
    <xf numFmtId="164" fontId="15" fillId="0" borderId="28" xfId="0" applyNumberFormat="1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164" fontId="15" fillId="0" borderId="31" xfId="0" applyNumberFormat="1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64" fontId="3" fillId="0" borderId="25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9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164" fontId="3" fillId="0" borderId="32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17" fillId="0" borderId="0" xfId="0" applyFont="1"/>
    <xf numFmtId="0" fontId="19" fillId="0" borderId="0" xfId="0" applyFont="1"/>
    <xf numFmtId="0" fontId="17" fillId="0" borderId="11" xfId="0" applyFont="1" applyBorder="1"/>
    <xf numFmtId="0" fontId="17" fillId="0" borderId="29" xfId="0" applyFont="1" applyBorder="1"/>
    <xf numFmtId="0" fontId="17" fillId="0" borderId="0" xfId="0" applyFont="1" applyBorder="1"/>
    <xf numFmtId="164" fontId="17" fillId="0" borderId="11" xfId="0" applyNumberFormat="1" applyFont="1" applyBorder="1"/>
    <xf numFmtId="0" fontId="17" fillId="0" borderId="11" xfId="0" applyFont="1" applyBorder="1" applyAlignment="1">
      <alignment horizontal="center"/>
    </xf>
    <xf numFmtId="0" fontId="17" fillId="0" borderId="33" xfId="0" applyFont="1" applyBorder="1"/>
    <xf numFmtId="0" fontId="17" fillId="0" borderId="33" xfId="0" applyFont="1" applyBorder="1" applyAlignment="1">
      <alignment horizontal="center"/>
    </xf>
    <xf numFmtId="0" fontId="0" fillId="0" borderId="0" xfId="0" applyBorder="1"/>
    <xf numFmtId="1" fontId="17" fillId="0" borderId="11" xfId="0" applyNumberFormat="1" applyFont="1" applyBorder="1"/>
    <xf numFmtId="0" fontId="17" fillId="0" borderId="0" xfId="0" applyFont="1" applyAlignment="1"/>
    <xf numFmtId="0" fontId="23" fillId="0" borderId="0" xfId="0" applyFont="1" applyFill="1"/>
    <xf numFmtId="0" fontId="1" fillId="0" borderId="1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1" fillId="0" borderId="0" xfId="0" applyFont="1"/>
    <xf numFmtId="0" fontId="1" fillId="0" borderId="11" xfId="0" applyFont="1" applyBorder="1"/>
    <xf numFmtId="0" fontId="23" fillId="0" borderId="11" xfId="0" applyFont="1" applyBorder="1"/>
    <xf numFmtId="0" fontId="21" fillId="0" borderId="0" xfId="0" applyFont="1"/>
    <xf numFmtId="0" fontId="17" fillId="0" borderId="0" xfId="0" applyFont="1" applyBorder="1" applyAlignment="1"/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11" xfId="0" applyFont="1" applyBorder="1" applyAlignment="1">
      <alignment vertical="center"/>
    </xf>
    <xf numFmtId="0" fontId="23" fillId="0" borderId="0" xfId="0" applyFont="1"/>
    <xf numFmtId="0" fontId="23" fillId="0" borderId="34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1" fontId="25" fillId="0" borderId="11" xfId="0" applyNumberFormat="1" applyFont="1" applyBorder="1" applyAlignment="1">
      <alignment horizontal="center" vertical="center"/>
    </xf>
    <xf numFmtId="164" fontId="25" fillId="0" borderId="11" xfId="0" applyNumberFormat="1" applyFont="1" applyBorder="1" applyAlignment="1">
      <alignment horizontal="center" vertical="center"/>
    </xf>
    <xf numFmtId="0" fontId="23" fillId="0" borderId="34" xfId="0" applyFont="1" applyBorder="1" applyAlignment="1">
      <alignment horizontal="left" vertical="center" wrapText="1"/>
    </xf>
    <xf numFmtId="0" fontId="23" fillId="0" borderId="34" xfId="0" applyFont="1" applyFill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8" fillId="0" borderId="11" xfId="0" applyFont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9" fillId="0" borderId="11" xfId="0" applyFont="1" applyBorder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4" fontId="25" fillId="0" borderId="0" xfId="0" applyNumberFormat="1" applyFont="1" applyFill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11" xfId="0" applyFont="1" applyBorder="1"/>
    <xf numFmtId="0" fontId="81" fillId="0" borderId="11" xfId="0" applyFont="1" applyBorder="1" applyAlignment="1">
      <alignment vertical="center"/>
    </xf>
    <xf numFmtId="0" fontId="82" fillId="0" borderId="0" xfId="0" applyFont="1"/>
    <xf numFmtId="0" fontId="82" fillId="0" borderId="0" xfId="0" applyFont="1" applyAlignment="1"/>
    <xf numFmtId="0" fontId="81" fillId="0" borderId="0" xfId="0" applyFont="1" applyAlignment="1"/>
    <xf numFmtId="14" fontId="81" fillId="0" borderId="0" xfId="0" applyNumberFormat="1" applyFont="1" applyAlignment="1">
      <alignment horizontal="left"/>
    </xf>
    <xf numFmtId="0" fontId="83" fillId="0" borderId="11" xfId="0" applyFont="1" applyBorder="1" applyAlignment="1">
      <alignment horizontal="center" vertical="center" textRotation="90"/>
    </xf>
    <xf numFmtId="0" fontId="83" fillId="9" borderId="11" xfId="0" applyFont="1" applyFill="1" applyBorder="1" applyAlignment="1">
      <alignment horizontal="center" vertical="center" textRotation="90"/>
    </xf>
    <xf numFmtId="0" fontId="81" fillId="9" borderId="11" xfId="0" applyFont="1" applyFill="1" applyBorder="1" applyAlignment="1">
      <alignment horizontal="center" vertical="center"/>
    </xf>
    <xf numFmtId="0" fontId="81" fillId="10" borderId="11" xfId="0" applyFont="1" applyFill="1" applyBorder="1" applyAlignment="1">
      <alignment horizontal="center" vertical="center"/>
    </xf>
    <xf numFmtId="0" fontId="31" fillId="0" borderId="11" xfId="0" applyFont="1" applyBorder="1"/>
    <xf numFmtId="0" fontId="81" fillId="9" borderId="11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right" vertical="center"/>
    </xf>
    <xf numFmtId="164" fontId="23" fillId="0" borderId="11" xfId="0" applyNumberFormat="1" applyFont="1" applyBorder="1" applyAlignment="1">
      <alignment horizontal="right" vertical="center"/>
    </xf>
    <xf numFmtId="0" fontId="23" fillId="0" borderId="11" xfId="0" applyFont="1" applyBorder="1" applyAlignment="1">
      <alignment horizontal="center" vertical="center"/>
    </xf>
    <xf numFmtId="164" fontId="23" fillId="0" borderId="11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wrapText="1"/>
    </xf>
    <xf numFmtId="14" fontId="23" fillId="0" borderId="0" xfId="0" applyNumberFormat="1" applyFont="1" applyAlignment="1">
      <alignment vertical="center"/>
    </xf>
    <xf numFmtId="0" fontId="23" fillId="0" borderId="0" xfId="0" applyFont="1" applyAlignment="1">
      <alignment horizontal="right" vertical="center"/>
    </xf>
    <xf numFmtId="0" fontId="23" fillId="0" borderId="3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textRotation="90" wrapText="1"/>
    </xf>
    <xf numFmtId="0" fontId="28" fillId="0" borderId="33" xfId="0" applyFont="1" applyBorder="1" applyAlignment="1">
      <alignment horizontal="center" vertical="center"/>
    </xf>
    <xf numFmtId="2" fontId="28" fillId="0" borderId="11" xfId="0" applyNumberFormat="1" applyFont="1" applyBorder="1" applyAlignment="1">
      <alignment horizontal="center" vertical="center"/>
    </xf>
    <xf numFmtId="164" fontId="28" fillId="0" borderId="11" xfId="0" applyNumberFormat="1" applyFont="1" applyBorder="1" applyAlignment="1">
      <alignment horizontal="center" vertical="center"/>
    </xf>
    <xf numFmtId="1" fontId="28" fillId="0" borderId="11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left" vertical="center"/>
    </xf>
    <xf numFmtId="0" fontId="28" fillId="0" borderId="29" xfId="0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30" fillId="0" borderId="11" xfId="0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49" fontId="32" fillId="0" borderId="11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center" vertical="center"/>
    </xf>
    <xf numFmtId="164" fontId="23" fillId="0" borderId="29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 vertical="center" textRotation="90"/>
    </xf>
    <xf numFmtId="0" fontId="23" fillId="0" borderId="11" xfId="0" applyFont="1" applyBorder="1" applyAlignment="1">
      <alignment vertical="center" wrapText="1"/>
    </xf>
    <xf numFmtId="0" fontId="23" fillId="0" borderId="0" xfId="0" applyFont="1" applyBorder="1"/>
    <xf numFmtId="0" fontId="23" fillId="0" borderId="29" xfId="0" applyFont="1" applyBorder="1" applyAlignment="1">
      <alignment vertical="center"/>
    </xf>
    <xf numFmtId="0" fontId="23" fillId="0" borderId="33" xfId="0" applyFont="1" applyBorder="1" applyAlignment="1">
      <alignment vertical="center" wrapText="1"/>
    </xf>
    <xf numFmtId="0" fontId="23" fillId="0" borderId="11" xfId="0" applyFont="1" applyFill="1" applyBorder="1" applyAlignment="1">
      <alignment vertical="center" wrapText="1"/>
    </xf>
    <xf numFmtId="0" fontId="25" fillId="0" borderId="11" xfId="0" applyFont="1" applyFill="1" applyBorder="1" applyAlignment="1">
      <alignment horizontal="left" vertical="center"/>
    </xf>
    <xf numFmtId="164" fontId="25" fillId="0" borderId="0" xfId="0" applyNumberFormat="1" applyFont="1" applyBorder="1" applyAlignment="1">
      <alignment horizontal="center" vertical="center"/>
    </xf>
    <xf numFmtId="164" fontId="23" fillId="0" borderId="11" xfId="0" applyNumberFormat="1" applyFont="1" applyFill="1" applyBorder="1" applyAlignment="1">
      <alignment vertical="center"/>
    </xf>
    <xf numFmtId="0" fontId="23" fillId="0" borderId="0" xfId="44"/>
    <xf numFmtId="0" fontId="23" fillId="0" borderId="35" xfId="44" applyBorder="1"/>
    <xf numFmtId="0" fontId="23" fillId="0" borderId="37" xfId="44" applyBorder="1"/>
    <xf numFmtId="0" fontId="23" fillId="0" borderId="38" xfId="44" applyBorder="1"/>
    <xf numFmtId="0" fontId="23" fillId="0" borderId="39" xfId="44" applyBorder="1"/>
    <xf numFmtId="0" fontId="23" fillId="0" borderId="40" xfId="44" applyBorder="1"/>
    <xf numFmtId="0" fontId="23" fillId="0" borderId="41" xfId="44" applyBorder="1"/>
    <xf numFmtId="0" fontId="23" fillId="0" borderId="25" xfId="44" applyBorder="1"/>
    <xf numFmtId="0" fontId="23" fillId="0" borderId="36" xfId="44" applyBorder="1"/>
    <xf numFmtId="0" fontId="23" fillId="0" borderId="0" xfId="44" applyBorder="1"/>
    <xf numFmtId="0" fontId="23" fillId="0" borderId="34" xfId="44" applyBorder="1"/>
    <xf numFmtId="0" fontId="23" fillId="0" borderId="42" xfId="44" applyBorder="1"/>
    <xf numFmtId="0" fontId="23" fillId="0" borderId="29" xfId="44" applyBorder="1"/>
    <xf numFmtId="0" fontId="23" fillId="0" borderId="33" xfId="44" applyBorder="1"/>
    <xf numFmtId="0" fontId="23" fillId="0" borderId="43" xfId="44" applyBorder="1"/>
    <xf numFmtId="0" fontId="35" fillId="0" borderId="0" xfId="44" applyFont="1" applyBorder="1"/>
    <xf numFmtId="0" fontId="23" fillId="0" borderId="0" xfId="44" applyBorder="1" applyAlignment="1">
      <alignment vertical="center"/>
    </xf>
    <xf numFmtId="0" fontId="39" fillId="0" borderId="0" xfId="44" applyFont="1" applyBorder="1"/>
    <xf numFmtId="0" fontId="40" fillId="0" borderId="0" xfId="44" applyFont="1" applyBorder="1"/>
    <xf numFmtId="0" fontId="23" fillId="0" borderId="44" xfId="44" applyBorder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/>
    </xf>
    <xf numFmtId="49" fontId="23" fillId="0" borderId="36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3" fillId="0" borderId="11" xfId="0" applyFont="1" applyBorder="1" applyAlignment="1">
      <alignment horizontal="right"/>
    </xf>
    <xf numFmtId="2" fontId="23" fillId="0" borderId="11" xfId="0" applyNumberFormat="1" applyFont="1" applyBorder="1" applyAlignment="1">
      <alignment horizontal="right" vertical="center"/>
    </xf>
    <xf numFmtId="164" fontId="23" fillId="0" borderId="29" xfId="0" applyNumberFormat="1" applyFont="1" applyBorder="1" applyAlignment="1">
      <alignment horizontal="right" vertical="center"/>
    </xf>
    <xf numFmtId="2" fontId="23" fillId="0" borderId="29" xfId="0" applyNumberFormat="1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164" fontId="23" fillId="0" borderId="11" xfId="0" applyNumberFormat="1" applyFont="1" applyBorder="1" applyAlignment="1">
      <alignment vertical="center"/>
    </xf>
    <xf numFmtId="2" fontId="23" fillId="0" borderId="11" xfId="0" applyNumberFormat="1" applyFont="1" applyBorder="1" applyAlignment="1">
      <alignment vertical="center"/>
    </xf>
    <xf numFmtId="2" fontId="23" fillId="0" borderId="33" xfId="0" applyNumberFormat="1" applyFont="1" applyBorder="1" applyAlignment="1">
      <alignment vertical="center"/>
    </xf>
    <xf numFmtId="164" fontId="23" fillId="0" borderId="33" xfId="0" applyNumberFormat="1" applyFont="1" applyBorder="1" applyAlignment="1">
      <alignment vertical="center"/>
    </xf>
    <xf numFmtId="164" fontId="23" fillId="0" borderId="25" xfId="0" applyNumberFormat="1" applyFont="1" applyBorder="1" applyAlignment="1">
      <alignment horizontal="right" vertical="center"/>
    </xf>
    <xf numFmtId="164" fontId="25" fillId="0" borderId="25" xfId="0" applyNumberFormat="1" applyFont="1" applyBorder="1" applyAlignment="1">
      <alignment horizontal="right" vertical="center"/>
    </xf>
    <xf numFmtId="164" fontId="23" fillId="0" borderId="43" xfId="0" applyNumberFormat="1" applyFont="1" applyBorder="1" applyAlignment="1">
      <alignment horizontal="right" vertical="center"/>
    </xf>
    <xf numFmtId="0" fontId="83" fillId="0" borderId="0" xfId="0" applyFont="1"/>
    <xf numFmtId="0" fontId="83" fillId="0" borderId="11" xfId="0" applyFont="1" applyBorder="1"/>
    <xf numFmtId="0" fontId="84" fillId="0" borderId="11" xfId="0" applyFont="1" applyBorder="1"/>
    <xf numFmtId="0" fontId="84" fillId="0" borderId="11" xfId="0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7" fillId="0" borderId="0" xfId="0" applyFont="1" applyFill="1" applyAlignment="1">
      <alignment horizontal="right"/>
    </xf>
    <xf numFmtId="0" fontId="23" fillId="0" borderId="34" xfId="0" applyNumberFormat="1" applyFont="1" applyBorder="1" applyAlignment="1">
      <alignment horizontal="right" vertical="center"/>
    </xf>
    <xf numFmtId="0" fontId="23" fillId="0" borderId="11" xfId="0" applyNumberFormat="1" applyFont="1" applyBorder="1" applyAlignment="1">
      <alignment horizontal="right" vertical="center"/>
    </xf>
    <xf numFmtId="0" fontId="23" fillId="0" borderId="11" xfId="0" applyNumberFormat="1" applyFont="1" applyFill="1" applyBorder="1" applyAlignment="1">
      <alignment horizontal="right" vertical="center"/>
    </xf>
    <xf numFmtId="0" fontId="25" fillId="0" borderId="34" xfId="0" applyNumberFormat="1" applyFont="1" applyBorder="1" applyAlignment="1">
      <alignment horizontal="right" vertical="center"/>
    </xf>
    <xf numFmtId="0" fontId="25" fillId="0" borderId="11" xfId="0" applyNumberFormat="1" applyFont="1" applyBorder="1" applyAlignment="1">
      <alignment horizontal="right" vertical="center"/>
    </xf>
    <xf numFmtId="0" fontId="25" fillId="0" borderId="11" xfId="0" applyNumberFormat="1" applyFont="1" applyFill="1" applyBorder="1" applyAlignment="1">
      <alignment horizontal="right" vertical="center"/>
    </xf>
    <xf numFmtId="49" fontId="1" fillId="0" borderId="3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2" fontId="1" fillId="0" borderId="33" xfId="0" applyNumberFormat="1" applyFont="1" applyBorder="1" applyAlignment="1">
      <alignment horizontal="center" vertical="center"/>
    </xf>
    <xf numFmtId="0" fontId="1" fillId="0" borderId="29" xfId="0" applyFont="1" applyBorder="1"/>
    <xf numFmtId="2" fontId="1" fillId="0" borderId="11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vertical="center"/>
    </xf>
    <xf numFmtId="49" fontId="1" fillId="0" borderId="29" xfId="0" applyNumberFormat="1" applyFont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 vertical="center"/>
    </xf>
    <xf numFmtId="0" fontId="1" fillId="0" borderId="45" xfId="0" applyFont="1" applyBorder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1" fillId="0" borderId="36" xfId="0" applyFont="1" applyBorder="1" applyAlignment="1">
      <alignment horizontal="center" vertical="center"/>
    </xf>
    <xf numFmtId="0" fontId="28" fillId="0" borderId="0" xfId="204" applyFont="1" applyAlignment="1">
      <alignment vertical="center"/>
    </xf>
    <xf numFmtId="0" fontId="30" fillId="0" borderId="0" xfId="204" applyFont="1" applyAlignment="1">
      <alignment horizontal="centerContinuous" vertical="center"/>
    </xf>
    <xf numFmtId="0" fontId="28" fillId="0" borderId="0" xfId="204" applyFont="1" applyAlignment="1">
      <alignment horizontal="centerContinuous" vertical="center"/>
    </xf>
    <xf numFmtId="0" fontId="28" fillId="0" borderId="43" xfId="204" applyFont="1" applyBorder="1" applyAlignment="1">
      <alignment vertical="center"/>
    </xf>
    <xf numFmtId="0" fontId="28" fillId="0" borderId="29" xfId="204" applyFont="1" applyBorder="1" applyAlignment="1">
      <alignment horizontal="center" vertical="center"/>
    </xf>
    <xf numFmtId="0" fontId="28" fillId="0" borderId="25" xfId="204" applyFont="1" applyBorder="1" applyAlignment="1">
      <alignment horizontal="centerContinuous" vertical="center"/>
    </xf>
    <xf numFmtId="0" fontId="28" fillId="0" borderId="39" xfId="204" applyFont="1" applyBorder="1" applyAlignment="1">
      <alignment vertical="center"/>
    </xf>
    <xf numFmtId="0" fontId="28" fillId="0" borderId="33" xfId="204" applyFont="1" applyBorder="1" applyAlignment="1">
      <alignment horizontal="center" vertical="center"/>
    </xf>
    <xf numFmtId="0" fontId="28" fillId="0" borderId="11" xfId="204" applyFont="1" applyBorder="1" applyAlignment="1">
      <alignment horizontal="center" vertical="center"/>
    </xf>
    <xf numFmtId="0" fontId="30" fillId="0" borderId="11" xfId="204" applyFont="1" applyBorder="1" applyAlignment="1">
      <alignment vertical="center"/>
    </xf>
    <xf numFmtId="164" fontId="30" fillId="0" borderId="11" xfId="204" applyNumberFormat="1" applyFont="1" applyBorder="1" applyAlignment="1">
      <alignment vertical="center"/>
    </xf>
    <xf numFmtId="164" fontId="30" fillId="0" borderId="11" xfId="204" quotePrefix="1" applyNumberFormat="1" applyFont="1" applyBorder="1" applyAlignment="1">
      <alignment vertical="center"/>
    </xf>
    <xf numFmtId="0" fontId="28" fillId="0" borderId="11" xfId="204" applyFont="1" applyBorder="1" applyAlignment="1">
      <alignment vertical="center"/>
    </xf>
    <xf numFmtId="164" fontId="28" fillId="0" borderId="11" xfId="204" applyNumberFormat="1" applyFont="1" applyBorder="1" applyAlignment="1">
      <alignment vertical="center"/>
    </xf>
    <xf numFmtId="0" fontId="28" fillId="0" borderId="11" xfId="204" applyFont="1" applyBorder="1" applyAlignment="1">
      <alignment horizontal="left" vertical="center"/>
    </xf>
    <xf numFmtId="0" fontId="28" fillId="0" borderId="0" xfId="204" applyFont="1" applyBorder="1"/>
    <xf numFmtId="0" fontId="28" fillId="0" borderId="0" xfId="204" quotePrefix="1" applyFont="1" applyAlignment="1">
      <alignment vertical="center"/>
    </xf>
    <xf numFmtId="14" fontId="28" fillId="0" borderId="0" xfId="204" applyNumberFormat="1" applyFont="1" applyAlignment="1">
      <alignment vertical="center"/>
    </xf>
    <xf numFmtId="0" fontId="28" fillId="0" borderId="0" xfId="204" applyFont="1" applyAlignment="1">
      <alignment horizontal="right" vertical="center"/>
    </xf>
    <xf numFmtId="0" fontId="28" fillId="0" borderId="29" xfId="204" applyFont="1" applyBorder="1" applyAlignment="1">
      <alignment vertical="center"/>
    </xf>
    <xf numFmtId="0" fontId="28" fillId="0" borderId="37" xfId="204" applyFont="1" applyBorder="1" applyAlignment="1">
      <alignment horizontal="centerContinuous" vertical="center"/>
    </xf>
    <xf numFmtId="164" fontId="28" fillId="0" borderId="0" xfId="204" applyNumberFormat="1" applyFont="1" applyBorder="1" applyAlignment="1">
      <alignment vertical="center"/>
    </xf>
    <xf numFmtId="0" fontId="28" fillId="0" borderId="0" xfId="204" applyFont="1" applyBorder="1" applyAlignment="1">
      <alignment vertical="center"/>
    </xf>
    <xf numFmtId="0" fontId="28" fillId="0" borderId="33" xfId="204" applyFont="1" applyBorder="1" applyAlignment="1">
      <alignment horizontal="center" vertical="center" wrapText="1"/>
    </xf>
    <xf numFmtId="0" fontId="28" fillId="0" borderId="35" xfId="204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29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Border="1"/>
    <xf numFmtId="164" fontId="28" fillId="0" borderId="11" xfId="204" applyNumberFormat="1" applyFont="1" applyBorder="1" applyAlignment="1">
      <alignment horizontal="right" vertical="center"/>
    </xf>
    <xf numFmtId="0" fontId="1" fillId="0" borderId="0" xfId="204" applyFont="1"/>
    <xf numFmtId="0" fontId="1" fillId="0" borderId="0" xfId="204" applyFont="1" applyAlignment="1">
      <alignment horizontal="center"/>
    </xf>
    <xf numFmtId="0" fontId="1" fillId="0" borderId="11" xfId="204" applyFont="1" applyBorder="1" applyAlignment="1">
      <alignment horizontal="center"/>
    </xf>
    <xf numFmtId="0" fontId="1" fillId="0" borderId="11" xfId="204" applyFont="1" applyBorder="1" applyAlignment="1">
      <alignment horizontal="center" vertical="center"/>
    </xf>
    <xf numFmtId="0" fontId="1" fillId="0" borderId="29" xfId="204" applyFont="1" applyBorder="1" applyAlignment="1">
      <alignment horizontal="center" vertical="center"/>
    </xf>
    <xf numFmtId="0" fontId="1" fillId="0" borderId="11" xfId="204" applyFont="1" applyBorder="1" applyAlignment="1">
      <alignment horizontal="center" vertical="center" wrapText="1"/>
    </xf>
    <xf numFmtId="0" fontId="1" fillId="0" borderId="29" xfId="204" applyFont="1" applyBorder="1" applyAlignment="1">
      <alignment horizontal="center" vertical="center" wrapText="1"/>
    </xf>
    <xf numFmtId="0" fontId="1" fillId="0" borderId="11" xfId="204" applyFont="1" applyBorder="1" applyAlignment="1">
      <alignment horizontal="right" vertical="center"/>
    </xf>
    <xf numFmtId="0" fontId="1" fillId="0" borderId="0" xfId="204" applyFont="1" applyBorder="1"/>
    <xf numFmtId="0" fontId="1" fillId="0" borderId="11" xfId="204" applyFont="1" applyBorder="1"/>
    <xf numFmtId="0" fontId="25" fillId="0" borderId="11" xfId="204" applyFont="1" applyBorder="1" applyAlignment="1">
      <alignment horizontal="center" vertical="center"/>
    </xf>
    <xf numFmtId="0" fontId="25" fillId="0" borderId="11" xfId="204" applyFont="1" applyFill="1" applyBorder="1" applyAlignment="1">
      <alignment horizontal="center" vertical="center"/>
    </xf>
    <xf numFmtId="0" fontId="25" fillId="0" borderId="11" xfId="204" applyFont="1" applyBorder="1" applyAlignment="1">
      <alignment horizontal="center"/>
    </xf>
    <xf numFmtId="0" fontId="1" fillId="0" borderId="0" xfId="0" applyFont="1" applyBorder="1"/>
    <xf numFmtId="0" fontId="1" fillId="0" borderId="11" xfId="0" applyFont="1" applyBorder="1" applyAlignment="1">
      <alignment horizontal="center"/>
    </xf>
    <xf numFmtId="0" fontId="17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" fillId="0" borderId="29" xfId="0" applyFont="1" applyBorder="1" applyAlignment="1">
      <alignment horizontal="left"/>
    </xf>
    <xf numFmtId="0" fontId="11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" fillId="0" borderId="11" xfId="204" applyFont="1" applyFill="1" applyBorder="1" applyAlignment="1">
      <alignment horizontal="center" vertical="center"/>
    </xf>
    <xf numFmtId="164" fontId="1" fillId="0" borderId="11" xfId="204" applyNumberFormat="1" applyFont="1" applyBorder="1"/>
    <xf numFmtId="0" fontId="1" fillId="0" borderId="0" xfId="0" applyFont="1" applyAlignment="1">
      <alignment horizontal="center"/>
    </xf>
    <xf numFmtId="0" fontId="1" fillId="0" borderId="0" xfId="204" applyFont="1" applyBorder="1" applyAlignment="1">
      <alignment horizontal="center"/>
    </xf>
    <xf numFmtId="0" fontId="1" fillId="0" borderId="0" xfId="0" applyFont="1" applyAlignment="1">
      <alignment horizontal="left"/>
    </xf>
    <xf numFmtId="0" fontId="83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5" fillId="0" borderId="25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9" fillId="0" borderId="0" xfId="0" applyFont="1" applyFill="1" applyAlignment="1">
      <alignment horizontal="right" vertical="center" wrapText="1"/>
    </xf>
    <xf numFmtId="0" fontId="2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centerContinuous" vertical="center"/>
    </xf>
    <xf numFmtId="0" fontId="29" fillId="0" borderId="0" xfId="0" applyFont="1" applyFill="1" applyAlignment="1">
      <alignment horizontal="right" vertical="center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right" vertical="center" wrapText="1"/>
    </xf>
    <xf numFmtId="0" fontId="29" fillId="0" borderId="11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11" borderId="11" xfId="0" applyFont="1" applyFill="1" applyBorder="1" applyAlignment="1">
      <alignment horizontal="left" vertical="center"/>
    </xf>
    <xf numFmtId="0" fontId="1" fillId="11" borderId="11" xfId="0" applyFont="1" applyFill="1" applyBorder="1" applyAlignment="1">
      <alignment horizontal="center" vertical="center"/>
    </xf>
    <xf numFmtId="0" fontId="1" fillId="11" borderId="11" xfId="0" applyFont="1" applyFill="1" applyBorder="1" applyAlignment="1">
      <alignment horizontal="right" vertical="center"/>
    </xf>
    <xf numFmtId="164" fontId="1" fillId="11" borderId="35" xfId="0" applyNumberFormat="1" applyFont="1" applyFill="1" applyBorder="1" applyAlignment="1">
      <alignment horizontal="right" vertical="center"/>
    </xf>
    <xf numFmtId="164" fontId="1" fillId="11" borderId="33" xfId="0" applyNumberFormat="1" applyFont="1" applyFill="1" applyBorder="1" applyAlignment="1">
      <alignment horizontal="right" vertical="center"/>
    </xf>
    <xf numFmtId="164" fontId="1" fillId="11" borderId="11" xfId="204" applyNumberFormat="1" applyFont="1" applyFill="1" applyBorder="1" applyAlignment="1">
      <alignment horizontal="right" vertical="center"/>
    </xf>
    <xf numFmtId="164" fontId="1" fillId="11" borderId="11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/>
    </xf>
    <xf numFmtId="1" fontId="1" fillId="11" borderId="33" xfId="0" applyNumberFormat="1" applyFont="1" applyFill="1" applyBorder="1" applyAlignment="1">
      <alignment horizontal="right" vertical="center"/>
    </xf>
    <xf numFmtId="0" fontId="1" fillId="11" borderId="11" xfId="0" applyFont="1" applyFill="1" applyBorder="1" applyAlignment="1">
      <alignment vertical="center"/>
    </xf>
    <xf numFmtId="0" fontId="1" fillId="11" borderId="11" xfId="0" applyFont="1" applyFill="1" applyBorder="1" applyAlignment="1">
      <alignment vertical="center" wrapText="1"/>
    </xf>
    <xf numFmtId="1" fontId="1" fillId="11" borderId="11" xfId="0" applyNumberFormat="1" applyFont="1" applyFill="1" applyBorder="1" applyAlignment="1">
      <alignment horizontal="right" vertical="center"/>
    </xf>
    <xf numFmtId="0" fontId="1" fillId="11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horizontal="right" vertical="center"/>
    </xf>
    <xf numFmtId="164" fontId="1" fillId="11" borderId="0" xfId="0" applyNumberFormat="1" applyFont="1" applyFill="1" applyBorder="1" applyAlignment="1">
      <alignment horizontal="right" vertical="center"/>
    </xf>
    <xf numFmtId="1" fontId="1" fillId="11" borderId="0" xfId="0" applyNumberFormat="1" applyFont="1" applyFill="1" applyBorder="1" applyAlignment="1">
      <alignment horizontal="right" vertical="center"/>
    </xf>
    <xf numFmtId="0" fontId="1" fillId="11" borderId="0" xfId="0" applyFont="1" applyFill="1" applyBorder="1"/>
    <xf numFmtId="0" fontId="1" fillId="11" borderId="0" xfId="0" applyFont="1" applyFill="1" applyBorder="1" applyAlignment="1">
      <alignment horizontal="right"/>
    </xf>
    <xf numFmtId="0" fontId="29" fillId="11" borderId="11" xfId="0" applyFont="1" applyFill="1" applyBorder="1" applyAlignment="1">
      <alignment horizontal="center" vertical="center" wrapText="1"/>
    </xf>
    <xf numFmtId="0" fontId="28" fillId="11" borderId="11" xfId="0" applyFont="1" applyFill="1" applyBorder="1" applyAlignment="1">
      <alignment horizontal="right" vertical="center" wrapText="1"/>
    </xf>
    <xf numFmtId="0" fontId="1" fillId="11" borderId="29" xfId="0" applyFont="1" applyFill="1" applyBorder="1" applyAlignment="1">
      <alignment vertical="center"/>
    </xf>
    <xf numFmtId="0" fontId="1" fillId="11" borderId="34" xfId="0" applyFont="1" applyFill="1" applyBorder="1" applyAlignment="1">
      <alignment horizontal="center" vertical="center"/>
    </xf>
    <xf numFmtId="164" fontId="1" fillId="11" borderId="34" xfId="0" applyNumberFormat="1" applyFont="1" applyFill="1" applyBorder="1" applyAlignment="1">
      <alignment horizontal="right" vertical="center"/>
    </xf>
    <xf numFmtId="0" fontId="1" fillId="11" borderId="44" xfId="0" applyFont="1" applyFill="1" applyBorder="1" applyAlignment="1">
      <alignment horizontal="center" vertical="center"/>
    </xf>
    <xf numFmtId="0" fontId="1" fillId="11" borderId="29" xfId="0" applyFont="1" applyFill="1" applyBorder="1" applyAlignment="1">
      <alignment horizontal="right" vertical="center"/>
    </xf>
    <xf numFmtId="0" fontId="1" fillId="11" borderId="33" xfId="0" applyFont="1" applyFill="1" applyBorder="1" applyAlignment="1">
      <alignment vertical="center"/>
    </xf>
    <xf numFmtId="0" fontId="1" fillId="11" borderId="0" xfId="0" applyFont="1" applyFill="1"/>
    <xf numFmtId="0" fontId="1" fillId="11" borderId="0" xfId="0" applyFont="1" applyFill="1" applyAlignment="1">
      <alignment horizontal="right"/>
    </xf>
    <xf numFmtId="0" fontId="29" fillId="11" borderId="11" xfId="0" applyFont="1" applyFill="1" applyBorder="1" applyAlignment="1">
      <alignment horizontal="right" vertical="center" wrapText="1"/>
    </xf>
    <xf numFmtId="0" fontId="1" fillId="11" borderId="11" xfId="0" applyFont="1" applyFill="1" applyBorder="1" applyAlignment="1">
      <alignment horizontal="left" vertical="center" wrapText="1"/>
    </xf>
    <xf numFmtId="2" fontId="1" fillId="11" borderId="33" xfId="0" applyNumberFormat="1" applyFont="1" applyFill="1" applyBorder="1" applyAlignment="1">
      <alignment horizontal="right" vertical="center"/>
    </xf>
    <xf numFmtId="0" fontId="1" fillId="11" borderId="33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1" fillId="0" borderId="0" xfId="0" applyFont="1" applyBorder="1" applyAlignment="1">
      <alignment horizontal="center"/>
    </xf>
    <xf numFmtId="0" fontId="1" fillId="0" borderId="0" xfId="204" applyFont="1" applyFill="1"/>
    <xf numFmtId="0" fontId="1" fillId="0" borderId="33" xfId="204" applyFont="1" applyBorder="1" applyAlignment="1">
      <alignment vertical="center"/>
    </xf>
    <xf numFmtId="0" fontId="1" fillId="0" borderId="33" xfId="204" applyFont="1" applyBorder="1" applyAlignment="1">
      <alignment horizontal="right" vertical="center"/>
    </xf>
    <xf numFmtId="0" fontId="1" fillId="0" borderId="33" xfId="44" applyFont="1" applyBorder="1" applyAlignment="1">
      <alignment horizontal="right" vertical="center"/>
    </xf>
    <xf numFmtId="0" fontId="1" fillId="0" borderId="11" xfId="204" applyFont="1" applyBorder="1" applyAlignment="1">
      <alignment vertical="center"/>
    </xf>
    <xf numFmtId="0" fontId="1" fillId="0" borderId="11" xfId="44" applyFont="1" applyBorder="1" applyAlignment="1">
      <alignment horizontal="right" vertical="center"/>
    </xf>
    <xf numFmtId="0" fontId="1" fillId="0" borderId="0" xfId="204" applyFont="1" applyBorder="1" applyAlignment="1">
      <alignment horizontal="right"/>
    </xf>
    <xf numFmtId="0" fontId="1" fillId="0" borderId="0" xfId="44" applyFont="1" applyBorder="1"/>
    <xf numFmtId="1" fontId="1" fillId="0" borderId="0" xfId="44" applyNumberFormat="1" applyFont="1" applyBorder="1"/>
    <xf numFmtId="14" fontId="1" fillId="0" borderId="0" xfId="204" applyNumberFormat="1" applyFont="1" applyAlignment="1">
      <alignment horizontal="left" vertical="center"/>
    </xf>
    <xf numFmtId="0" fontId="1" fillId="2" borderId="11" xfId="204" applyFont="1" applyFill="1" applyBorder="1" applyAlignment="1">
      <alignment horizontal="center" vertical="center"/>
    </xf>
    <xf numFmtId="0" fontId="1" fillId="0" borderId="0" xfId="204" applyFont="1" applyBorder="1" applyAlignment="1">
      <alignment horizontal="center" vertical="center"/>
    </xf>
    <xf numFmtId="164" fontId="1" fillId="0" borderId="0" xfId="204" applyNumberFormat="1" applyFont="1" applyBorder="1"/>
    <xf numFmtId="164" fontId="1" fillId="0" borderId="0" xfId="204" applyNumberFormat="1" applyFont="1" applyBorder="1" applyAlignment="1">
      <alignment horizontal="center"/>
    </xf>
    <xf numFmtId="164" fontId="1" fillId="0" borderId="11" xfId="204" applyNumberFormat="1" applyFont="1" applyBorder="1" applyAlignment="1">
      <alignment vertical="center"/>
    </xf>
    <xf numFmtId="0" fontId="1" fillId="0" borderId="0" xfId="204" applyFont="1" applyAlignment="1">
      <alignment vertical="center"/>
    </xf>
    <xf numFmtId="0" fontId="1" fillId="0" borderId="0" xfId="204" applyFont="1" applyAlignment="1"/>
    <xf numFmtId="0" fontId="1" fillId="0" borderId="36" xfId="204" applyFont="1" applyBorder="1" applyAlignment="1">
      <alignment horizontal="center" vertical="center"/>
    </xf>
    <xf numFmtId="0" fontId="25" fillId="0" borderId="36" xfId="204" applyFont="1" applyBorder="1" applyAlignment="1">
      <alignment horizontal="center" vertical="center"/>
    </xf>
    <xf numFmtId="0" fontId="1" fillId="0" borderId="33" xfId="204" applyFont="1" applyBorder="1" applyAlignment="1">
      <alignment horizontal="center" vertical="center"/>
    </xf>
    <xf numFmtId="0" fontId="25" fillId="0" borderId="33" xfId="204" applyFont="1" applyBorder="1" applyAlignment="1">
      <alignment horizontal="center" vertical="center"/>
    </xf>
    <xf numFmtId="0" fontId="1" fillId="11" borderId="11" xfId="204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11" borderId="11" xfId="0" applyFont="1" applyFill="1" applyBorder="1"/>
    <xf numFmtId="0" fontId="1" fillId="0" borderId="25" xfId="0" applyFont="1" applyBorder="1" applyAlignment="1">
      <alignment horizontal="center" vertical="center"/>
    </xf>
    <xf numFmtId="0" fontId="25" fillId="0" borderId="0" xfId="0" applyFont="1"/>
    <xf numFmtId="0" fontId="1" fillId="11" borderId="33" xfId="0" applyFont="1" applyFill="1" applyBorder="1"/>
    <xf numFmtId="0" fontId="1" fillId="0" borderId="1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25" xfId="0" applyFont="1" applyBorder="1" applyAlignment="1">
      <alignment horizontal="left" vertical="center"/>
    </xf>
    <xf numFmtId="0" fontId="1" fillId="0" borderId="37" xfId="0" applyFont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2" fontId="1" fillId="0" borderId="11" xfId="0" applyNumberFormat="1" applyFont="1" applyBorder="1" applyAlignment="1">
      <alignment horizontal="right" vertical="center"/>
    </xf>
    <xf numFmtId="0" fontId="1" fillId="0" borderId="42" xfId="0" applyFont="1" applyBorder="1" applyAlignment="1">
      <alignment vertical="center"/>
    </xf>
    <xf numFmtId="0" fontId="1" fillId="0" borderId="0" xfId="0" applyFont="1" applyBorder="1" applyAlignment="1"/>
    <xf numFmtId="14" fontId="1" fillId="0" borderId="0" xfId="0" applyNumberFormat="1" applyFont="1" applyAlignment="1">
      <alignment vertical="center"/>
    </xf>
    <xf numFmtId="0" fontId="1" fillId="0" borderId="25" xfId="0" applyFont="1" applyBorder="1" applyAlignment="1">
      <alignment vertical="center"/>
    </xf>
    <xf numFmtId="0" fontId="1" fillId="11" borderId="0" xfId="0" applyFont="1" applyFill="1" applyBorder="1" applyAlignment="1">
      <alignment horizontal="center"/>
    </xf>
    <xf numFmtId="164" fontId="1" fillId="11" borderId="29" xfId="0" applyNumberFormat="1" applyFont="1" applyFill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2" fontId="1" fillId="0" borderId="0" xfId="0" applyNumberFormat="1" applyFont="1" applyBorder="1" applyAlignment="1">
      <alignment vertical="center"/>
    </xf>
    <xf numFmtId="2" fontId="1" fillId="0" borderId="0" xfId="0" applyNumberFormat="1" applyFont="1"/>
    <xf numFmtId="0" fontId="29" fillId="0" borderId="0" xfId="204" applyFont="1" applyAlignment="1">
      <alignment horizontal="center"/>
    </xf>
    <xf numFmtId="0" fontId="29" fillId="0" borderId="11" xfId="204" applyFont="1" applyBorder="1" applyAlignment="1">
      <alignment horizontal="center" vertical="center"/>
    </xf>
    <xf numFmtId="0" fontId="24" fillId="0" borderId="11" xfId="214" applyFont="1" applyFill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center" vertical="center"/>
    </xf>
    <xf numFmtId="164" fontId="1" fillId="11" borderId="11" xfId="0" applyNumberFormat="1" applyFont="1" applyFill="1" applyBorder="1" applyAlignment="1">
      <alignment vertical="center"/>
    </xf>
    <xf numFmtId="164" fontId="1" fillId="0" borderId="11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Border="1" applyAlignment="1">
      <alignment vertical="center" textRotation="90" wrapText="1"/>
    </xf>
    <xf numFmtId="0" fontId="1" fillId="0" borderId="0" xfId="0" applyFont="1" applyBorder="1" applyAlignment="1">
      <alignment vertical="center" textRotation="90"/>
    </xf>
    <xf numFmtId="164" fontId="1" fillId="0" borderId="0" xfId="0" applyNumberFormat="1" applyFont="1" applyBorder="1"/>
    <xf numFmtId="2" fontId="1" fillId="0" borderId="0" xfId="0" applyNumberFormat="1" applyFont="1" applyBorder="1"/>
    <xf numFmtId="164" fontId="85" fillId="0" borderId="0" xfId="0" applyNumberFormat="1" applyFont="1" applyBorder="1"/>
    <xf numFmtId="0" fontId="29" fillId="0" borderId="29" xfId="204" applyFont="1" applyBorder="1" applyAlignment="1">
      <alignment horizontal="center" vertical="center"/>
    </xf>
    <xf numFmtId="0" fontId="29" fillId="0" borderId="25" xfId="204" applyFont="1" applyBorder="1" applyAlignment="1">
      <alignment horizontal="centerContinuous" vertical="center"/>
    </xf>
    <xf numFmtId="0" fontId="29" fillId="0" borderId="34" xfId="204" applyFont="1" applyBorder="1" applyAlignment="1">
      <alignment horizontal="centerContinuous" vertical="center"/>
    </xf>
    <xf numFmtId="0" fontId="29" fillId="0" borderId="33" xfId="204" applyFont="1" applyBorder="1" applyAlignment="1">
      <alignment horizontal="center" vertical="center"/>
    </xf>
    <xf numFmtId="0" fontId="29" fillId="2" borderId="11" xfId="204" applyFont="1" applyFill="1" applyBorder="1" applyAlignment="1">
      <alignment horizontal="left" vertical="center"/>
    </xf>
    <xf numFmtId="0" fontId="29" fillId="0" borderId="11" xfId="204" applyFont="1" applyBorder="1" applyAlignment="1">
      <alignment vertical="center"/>
    </xf>
    <xf numFmtId="0" fontId="29" fillId="2" borderId="11" xfId="204" applyFont="1" applyFill="1" applyBorder="1" applyAlignment="1">
      <alignment horizontal="center" vertical="center"/>
    </xf>
    <xf numFmtId="0" fontId="25" fillId="0" borderId="0" xfId="204" applyFont="1" applyAlignment="1">
      <alignment horizontal="centerContinuous" vertical="center"/>
    </xf>
    <xf numFmtId="0" fontId="1" fillId="0" borderId="0" xfId="204" applyFont="1" applyAlignment="1">
      <alignment horizontal="left" vertical="center"/>
    </xf>
    <xf numFmtId="0" fontId="1" fillId="0" borderId="0" xfId="204" quotePrefix="1" applyFont="1" applyAlignment="1">
      <alignment vertical="center"/>
    </xf>
    <xf numFmtId="0" fontId="49" fillId="0" borderId="29" xfId="204" applyFont="1" applyBorder="1" applyAlignment="1">
      <alignment horizontal="center" vertical="center"/>
    </xf>
    <xf numFmtId="0" fontId="1" fillId="0" borderId="25" xfId="204" applyFont="1" applyBorder="1" applyAlignment="1">
      <alignment horizontal="centerContinuous" vertical="center"/>
    </xf>
    <xf numFmtId="0" fontId="1" fillId="0" borderId="34" xfId="204" applyFont="1" applyBorder="1" applyAlignment="1">
      <alignment horizontal="centerContinuous" vertical="center"/>
    </xf>
    <xf numFmtId="0" fontId="1" fillId="2" borderId="11" xfId="204" applyFont="1" applyFill="1" applyBorder="1" applyAlignment="1">
      <alignment vertical="center"/>
    </xf>
    <xf numFmtId="164" fontId="1" fillId="2" borderId="11" xfId="204" applyNumberFormat="1" applyFont="1" applyFill="1" applyBorder="1" applyAlignment="1">
      <alignment vertical="center"/>
    </xf>
    <xf numFmtId="0" fontId="1" fillId="2" borderId="29" xfId="204" applyFont="1" applyFill="1" applyBorder="1" applyAlignment="1">
      <alignment vertical="center"/>
    </xf>
    <xf numFmtId="164" fontId="1" fillId="2" borderId="29" xfId="204" applyNumberFormat="1" applyFont="1" applyFill="1" applyBorder="1" applyAlignment="1">
      <alignment vertical="center"/>
    </xf>
    <xf numFmtId="0" fontId="1" fillId="2" borderId="29" xfId="204" applyFont="1" applyFill="1" applyBorder="1" applyAlignment="1">
      <alignment horizontal="left" vertical="center"/>
    </xf>
    <xf numFmtId="0" fontId="1" fillId="2" borderId="11" xfId="204" applyFont="1" applyFill="1" applyBorder="1" applyAlignment="1">
      <alignment horizontal="left" vertical="center"/>
    </xf>
    <xf numFmtId="0" fontId="1" fillId="0" borderId="0" xfId="204" applyFont="1" applyAlignment="1">
      <alignment horizontal="center" vertical="center"/>
    </xf>
    <xf numFmtId="4" fontId="1" fillId="0" borderId="0" xfId="204" applyNumberFormat="1" applyFont="1" applyAlignment="1">
      <alignment vertical="center"/>
    </xf>
    <xf numFmtId="0" fontId="29" fillId="0" borderId="11" xfId="204" applyFont="1" applyBorder="1" applyAlignment="1">
      <alignment horizontal="centerContinuous" vertical="center"/>
    </xf>
    <xf numFmtId="164" fontId="1" fillId="0" borderId="0" xfId="204" applyNumberFormat="1" applyFont="1" applyAlignment="1">
      <alignment vertical="center"/>
    </xf>
    <xf numFmtId="0" fontId="29" fillId="0" borderId="11" xfId="204" applyFont="1" applyBorder="1" applyAlignment="1">
      <alignment horizontal="left" vertical="center"/>
    </xf>
    <xf numFmtId="0" fontId="29" fillId="0" borderId="29" xfId="204" applyFont="1" applyBorder="1" applyAlignment="1">
      <alignment horizontal="left" vertical="center"/>
    </xf>
    <xf numFmtId="0" fontId="29" fillId="0" borderId="34" xfId="204" applyFont="1" applyBorder="1" applyAlignment="1">
      <alignment vertical="center"/>
    </xf>
    <xf numFmtId="0" fontId="29" fillId="0" borderId="25" xfId="204" applyFont="1" applyBorder="1" applyAlignment="1">
      <alignment horizontal="left" vertical="center"/>
    </xf>
    <xf numFmtId="0" fontId="29" fillId="0" borderId="11" xfId="204" applyFont="1" applyBorder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0" fontId="31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6" fillId="0" borderId="0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49" fontId="1" fillId="0" borderId="25" xfId="0" applyNumberFormat="1" applyFont="1" applyBorder="1" applyAlignment="1">
      <alignment horizontal="center" vertical="center"/>
    </xf>
    <xf numFmtId="0" fontId="1" fillId="0" borderId="11" xfId="0" quotePrefix="1" applyFont="1" applyBorder="1" applyAlignment="1">
      <alignment horizontal="center" vertical="center"/>
    </xf>
    <xf numFmtId="0" fontId="1" fillId="0" borderId="25" xfId="0" quotePrefix="1" applyFont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textRotation="90" wrapText="1"/>
    </xf>
    <xf numFmtId="0" fontId="25" fillId="5" borderId="11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50" fillId="6" borderId="11" xfId="0" quotePrefix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0" xfId="0" quotePrefix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0" fillId="0" borderId="0" xfId="0" quotePrefix="1" applyFont="1" applyBorder="1" applyAlignment="1">
      <alignment horizontal="center" vertical="center"/>
    </xf>
    <xf numFmtId="0" fontId="25" fillId="0" borderId="0" xfId="0" quotePrefix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 wrapText="1"/>
    </xf>
    <xf numFmtId="0" fontId="2" fillId="11" borderId="11" xfId="0" applyFont="1" applyFill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7" fillId="11" borderId="11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31" fillId="0" borderId="0" xfId="0" applyFont="1" applyBorder="1" applyAlignment="1">
      <alignment horizontal="center"/>
    </xf>
    <xf numFmtId="0" fontId="86" fillId="0" borderId="0" xfId="0" applyFont="1"/>
    <xf numFmtId="0" fontId="81" fillId="0" borderId="11" xfId="0" applyFont="1" applyBorder="1" applyAlignment="1">
      <alignment horizontal="left" vertical="center"/>
    </xf>
    <xf numFmtId="0" fontId="81" fillId="0" borderId="29" xfId="0" applyFont="1" applyBorder="1" applyAlignment="1">
      <alignment vertical="center"/>
    </xf>
    <xf numFmtId="0" fontId="83" fillId="0" borderId="11" xfId="0" applyFont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83" fillId="0" borderId="0" xfId="0" applyFont="1" applyBorder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distributed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textRotation="90" wrapText="1"/>
    </xf>
    <xf numFmtId="0" fontId="31" fillId="0" borderId="0" xfId="0" applyFont="1" applyBorder="1" applyAlignment="1">
      <alignment horizontal="left" wrapText="1"/>
    </xf>
    <xf numFmtId="0" fontId="42" fillId="0" borderId="0" xfId="0" applyFont="1"/>
    <xf numFmtId="0" fontId="44" fillId="0" borderId="0" xfId="0" applyFont="1"/>
    <xf numFmtId="0" fontId="31" fillId="0" borderId="0" xfId="0" applyFont="1" applyAlignment="1">
      <alignment horizontal="left"/>
    </xf>
    <xf numFmtId="0" fontId="30" fillId="0" borderId="0" xfId="0" applyFont="1"/>
    <xf numFmtId="0" fontId="46" fillId="0" borderId="0" xfId="0" applyFont="1"/>
    <xf numFmtId="0" fontId="55" fillId="0" borderId="0" xfId="0" applyFont="1"/>
    <xf numFmtId="49" fontId="1" fillId="0" borderId="25" xfId="0" quotePrefix="1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 wrapText="1"/>
    </xf>
    <xf numFmtId="0" fontId="1" fillId="3" borderId="11" xfId="0" applyFont="1" applyFill="1" applyBorder="1" applyAlignment="1">
      <alignment horizontal="center" vertical="center"/>
    </xf>
    <xf numFmtId="0" fontId="31" fillId="0" borderId="0" xfId="44" applyFont="1" applyBorder="1" applyAlignment="1">
      <alignment horizontal="center" vertical="center"/>
    </xf>
    <xf numFmtId="49" fontId="56" fillId="0" borderId="0" xfId="213" applyNumberFormat="1" applyFont="1" applyFill="1" applyBorder="1" applyAlignment="1">
      <alignment horizontal="center" vertical="center"/>
    </xf>
    <xf numFmtId="0" fontId="31" fillId="0" borderId="0" xfId="212" applyFont="1" applyBorder="1" applyAlignment="1">
      <alignment horizontal="left"/>
    </xf>
    <xf numFmtId="0" fontId="31" fillId="0" borderId="0" xfId="212" applyFont="1" applyBorder="1"/>
    <xf numFmtId="0" fontId="31" fillId="14" borderId="0" xfId="212" applyFont="1" applyFill="1" applyBorder="1"/>
    <xf numFmtId="0" fontId="46" fillId="14" borderId="0" xfId="212" applyFont="1" applyFill="1" applyBorder="1"/>
    <xf numFmtId="0" fontId="1" fillId="0" borderId="0" xfId="0" applyFont="1" applyBorder="1" applyAlignment="1">
      <alignment vertical="center"/>
    </xf>
    <xf numFmtId="0" fontId="31" fillId="0" borderId="0" xfId="209" applyFont="1" applyBorder="1" applyAlignment="1">
      <alignment wrapText="1"/>
    </xf>
    <xf numFmtId="0" fontId="31" fillId="0" borderId="0" xfId="209" applyFont="1" applyBorder="1" applyAlignment="1">
      <alignment horizontal="center"/>
    </xf>
    <xf numFmtId="0" fontId="46" fillId="0" borderId="0" xfId="212" applyFont="1" applyFill="1" applyBorder="1"/>
    <xf numFmtId="0" fontId="31" fillId="0" borderId="0" xfId="44" applyFont="1" applyBorder="1"/>
    <xf numFmtId="0" fontId="4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" fillId="0" borderId="0" xfId="0" applyFont="1" applyAlignment="1">
      <alignment vertical="center" wrapText="1"/>
    </xf>
    <xf numFmtId="0" fontId="46" fillId="0" borderId="0" xfId="0" applyFont="1" applyBorder="1"/>
    <xf numFmtId="0" fontId="1" fillId="0" borderId="11" xfId="0" quotePrefix="1" applyFont="1" applyBorder="1" applyAlignment="1">
      <alignment horizontal="center"/>
    </xf>
    <xf numFmtId="0" fontId="1" fillId="0" borderId="25" xfId="0" quotePrefix="1" applyFont="1" applyBorder="1" applyAlignment="1">
      <alignment horizontal="center"/>
    </xf>
    <xf numFmtId="0" fontId="31" fillId="0" borderId="0" xfId="0" quotePrefix="1" applyFont="1" applyBorder="1" applyAlignment="1">
      <alignment horizontal="center"/>
    </xf>
    <xf numFmtId="0" fontId="1" fillId="0" borderId="11" xfId="44" applyFont="1" applyBorder="1" applyAlignment="1">
      <alignment vertical="center"/>
    </xf>
    <xf numFmtId="1" fontId="1" fillId="0" borderId="11" xfId="44" applyNumberFormat="1" applyFont="1" applyBorder="1" applyAlignment="1">
      <alignment vertical="center"/>
    </xf>
    <xf numFmtId="0" fontId="1" fillId="0" borderId="11" xfId="204" applyFont="1" applyBorder="1" applyAlignment="1">
      <alignment horizontal="center" vertical="center" textRotation="90" wrapText="1"/>
    </xf>
    <xf numFmtId="0" fontId="25" fillId="0" borderId="29" xfId="204" applyFont="1" applyBorder="1" applyAlignment="1">
      <alignment horizontal="center" vertical="center"/>
    </xf>
    <xf numFmtId="0" fontId="31" fillId="0" borderId="29" xfId="204" applyFont="1" applyBorder="1" applyAlignment="1">
      <alignment horizontal="center" vertical="center"/>
    </xf>
    <xf numFmtId="0" fontId="31" fillId="0" borderId="36" xfId="204" applyFont="1" applyBorder="1" applyAlignment="1">
      <alignment horizontal="center" vertical="center"/>
    </xf>
    <xf numFmtId="0" fontId="83" fillId="0" borderId="11" xfId="0" applyFont="1" applyBorder="1" applyAlignment="1">
      <alignment horizontal="left" vertical="center"/>
    </xf>
    <xf numFmtId="0" fontId="28" fillId="0" borderId="0" xfId="0" applyFont="1" applyAlignment="1">
      <alignment horizontal="center"/>
    </xf>
    <xf numFmtId="0" fontId="17" fillId="0" borderId="11" xfId="0" applyFont="1" applyBorder="1" applyAlignment="1">
      <alignment horizontal="center" vertical="center"/>
    </xf>
    <xf numFmtId="0" fontId="29" fillId="0" borderId="11" xfId="204" applyFont="1" applyBorder="1" applyAlignment="1">
      <alignment horizontal="center"/>
    </xf>
    <xf numFmtId="49" fontId="23" fillId="0" borderId="0" xfId="0" applyNumberFormat="1" applyFont="1" applyBorder="1" applyAlignment="1">
      <alignment horizontal="center"/>
    </xf>
    <xf numFmtId="0" fontId="83" fillId="0" borderId="11" xfId="0" applyFont="1" applyBorder="1" applyAlignment="1">
      <alignment vertical="center"/>
    </xf>
    <xf numFmtId="0" fontId="1" fillId="0" borderId="0" xfId="0" applyFont="1" applyAlignment="1">
      <alignment horizontal="right"/>
    </xf>
    <xf numFmtId="164" fontId="29" fillId="2" borderId="11" xfId="204" applyNumberFormat="1" applyFont="1" applyFill="1" applyBorder="1" applyAlignment="1">
      <alignment horizontal="center" vertical="center"/>
    </xf>
    <xf numFmtId="164" fontId="29" fillId="0" borderId="11" xfId="204" applyNumberFormat="1" applyFont="1" applyBorder="1" applyAlignment="1">
      <alignment horizontal="center" vertical="center"/>
    </xf>
    <xf numFmtId="164" fontId="29" fillId="2" borderId="11" xfId="204" quotePrefix="1" applyNumberFormat="1" applyFont="1" applyFill="1" applyBorder="1" applyAlignment="1">
      <alignment horizontal="center" vertical="center"/>
    </xf>
    <xf numFmtId="2" fontId="23" fillId="0" borderId="11" xfId="0" applyNumberFormat="1" applyFont="1" applyBorder="1" applyAlignment="1">
      <alignment horizontal="right"/>
    </xf>
    <xf numFmtId="0" fontId="21" fillId="0" borderId="34" xfId="0" applyFont="1" applyBorder="1" applyAlignment="1">
      <alignment horizontal="center" vertical="center"/>
    </xf>
    <xf numFmtId="164" fontId="23" fillId="0" borderId="34" xfId="0" applyNumberFormat="1" applyFont="1" applyBorder="1" applyAlignment="1">
      <alignment horizontal="right" vertical="center"/>
    </xf>
    <xf numFmtId="164" fontId="23" fillId="0" borderId="11" xfId="0" applyNumberFormat="1" applyFont="1" applyFill="1" applyBorder="1" applyAlignment="1">
      <alignment horizontal="right" vertical="center"/>
    </xf>
    <xf numFmtId="2" fontId="1" fillId="0" borderId="11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 wrapText="1"/>
    </xf>
    <xf numFmtId="0" fontId="21" fillId="0" borderId="34" xfId="0" applyFont="1" applyBorder="1" applyAlignment="1">
      <alignment horizontal="center" vertical="center" wrapText="1"/>
    </xf>
    <xf numFmtId="164" fontId="21" fillId="0" borderId="11" xfId="0" applyNumberFormat="1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164" fontId="21" fillId="0" borderId="33" xfId="0" applyNumberFormat="1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164" fontId="21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1" fontId="21" fillId="0" borderId="35" xfId="0" applyNumberFormat="1" applyFont="1" applyBorder="1" applyAlignment="1">
      <alignment horizontal="center" vertical="center" wrapText="1"/>
    </xf>
    <xf numFmtId="0" fontId="21" fillId="0" borderId="11" xfId="0" applyFont="1" applyBorder="1"/>
    <xf numFmtId="1" fontId="21" fillId="0" borderId="34" xfId="0" applyNumberFormat="1" applyFont="1" applyBorder="1" applyAlignment="1">
      <alignment horizontal="center" vertical="center" wrapText="1"/>
    </xf>
    <xf numFmtId="1" fontId="21" fillId="0" borderId="44" xfId="0" applyNumberFormat="1" applyFont="1" applyBorder="1" applyAlignment="1">
      <alignment horizontal="center" vertical="center" wrapText="1"/>
    </xf>
    <xf numFmtId="1" fontId="22" fillId="0" borderId="46" xfId="0" applyNumberFormat="1" applyFont="1" applyBorder="1" applyAlignment="1">
      <alignment horizontal="center" vertical="center" wrapText="1"/>
    </xf>
    <xf numFmtId="164" fontId="22" fillId="0" borderId="46" xfId="0" applyNumberFormat="1" applyFont="1" applyBorder="1" applyAlignment="1">
      <alignment horizontal="center" vertical="center" wrapText="1"/>
    </xf>
    <xf numFmtId="0" fontId="22" fillId="11" borderId="19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164" fontId="21" fillId="0" borderId="11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vertical="center"/>
    </xf>
    <xf numFmtId="0" fontId="22" fillId="0" borderId="46" xfId="0" applyFont="1" applyFill="1" applyBorder="1" applyAlignment="1">
      <alignment horizontal="center" vertical="center" wrapText="1"/>
    </xf>
    <xf numFmtId="164" fontId="22" fillId="0" borderId="19" xfId="0" applyNumberFormat="1" applyFont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1" fillId="0" borderId="11" xfId="0" applyNumberFormat="1" applyFont="1" applyFill="1" applyBorder="1" applyAlignment="1">
      <alignment horizontal="center" vertical="center" wrapText="1"/>
    </xf>
    <xf numFmtId="164" fontId="21" fillId="11" borderId="11" xfId="0" applyNumberFormat="1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164" fontId="21" fillId="0" borderId="47" xfId="0" applyNumberFormat="1" applyFont="1" applyBorder="1" applyAlignment="1">
      <alignment horizontal="center" vertical="center" wrapText="1"/>
    </xf>
    <xf numFmtId="1" fontId="25" fillId="0" borderId="19" xfId="0" applyNumberFormat="1" applyFont="1" applyBorder="1" applyAlignment="1">
      <alignment horizontal="center" vertical="center" wrapText="1"/>
    </xf>
    <xf numFmtId="1" fontId="25" fillId="0" borderId="16" xfId="0" applyNumberFormat="1" applyFont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164" fontId="25" fillId="0" borderId="19" xfId="0" applyNumberFormat="1" applyFont="1" applyBorder="1" applyAlignment="1">
      <alignment horizontal="center" vertical="center" wrapText="1"/>
    </xf>
    <xf numFmtId="164" fontId="25" fillId="0" borderId="40" xfId="0" applyNumberFormat="1" applyFont="1" applyBorder="1" applyAlignment="1">
      <alignment horizontal="center" vertical="center" wrapText="1"/>
    </xf>
    <xf numFmtId="164" fontId="21" fillId="0" borderId="12" xfId="0" applyNumberFormat="1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6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" fillId="0" borderId="0" xfId="0" applyFont="1" applyAlignment="1">
      <alignment horizontal="left" indent="4"/>
    </xf>
    <xf numFmtId="0" fontId="28" fillId="0" borderId="0" xfId="0" applyFont="1"/>
    <xf numFmtId="0" fontId="83" fillId="0" borderId="11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 wrapText="1"/>
    </xf>
    <xf numFmtId="0" fontId="2" fillId="11" borderId="29" xfId="0" applyFont="1" applyFill="1" applyBorder="1" applyAlignment="1">
      <alignment horizontal="center" vertical="center" wrapText="1"/>
    </xf>
    <xf numFmtId="0" fontId="2" fillId="11" borderId="25" xfId="35" applyFont="1" applyFill="1" applyBorder="1" applyAlignment="1">
      <alignment horizontal="center" vertical="center"/>
    </xf>
    <xf numFmtId="0" fontId="2" fillId="11" borderId="11" xfId="35" quotePrefix="1" applyFont="1" applyFill="1" applyBorder="1" applyAlignment="1">
      <alignment horizontal="center" vertical="center"/>
    </xf>
    <xf numFmtId="0" fontId="27" fillId="11" borderId="11" xfId="35" applyFont="1" applyFill="1" applyBorder="1" applyAlignment="1">
      <alignment horizontal="center"/>
    </xf>
    <xf numFmtId="0" fontId="2" fillId="11" borderId="11" xfId="35" applyFont="1" applyFill="1" applyBorder="1" applyAlignment="1">
      <alignment horizontal="center"/>
    </xf>
    <xf numFmtId="0" fontId="27" fillId="0" borderId="11" xfId="35" applyFont="1" applyBorder="1" applyAlignment="1">
      <alignment horizontal="center" vertical="center"/>
    </xf>
    <xf numFmtId="0" fontId="2" fillId="11" borderId="25" xfId="35" quotePrefix="1" applyFont="1" applyFill="1" applyBorder="1" applyAlignment="1">
      <alignment horizontal="center" vertical="center"/>
    </xf>
    <xf numFmtId="0" fontId="27" fillId="15" borderId="25" xfId="35" applyFont="1" applyFill="1" applyBorder="1" applyAlignment="1">
      <alignment horizontal="center"/>
    </xf>
    <xf numFmtId="0" fontId="27" fillId="15" borderId="25" xfId="35" applyFont="1" applyFill="1" applyBorder="1" applyAlignment="1">
      <alignment horizontal="center" vertical="center"/>
    </xf>
    <xf numFmtId="0" fontId="2" fillId="0" borderId="11" xfId="35" quotePrefix="1" applyFont="1" applyBorder="1" applyAlignment="1">
      <alignment horizontal="center" vertical="center"/>
    </xf>
    <xf numFmtId="0" fontId="29" fillId="0" borderId="0" xfId="35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23" fillId="0" borderId="41" xfId="0" applyFont="1" applyBorder="1" applyAlignment="1">
      <alignment vertical="center"/>
    </xf>
    <xf numFmtId="0" fontId="1" fillId="0" borderId="41" xfId="0" applyFont="1" applyBorder="1" applyAlignment="1">
      <alignment vertical="center"/>
    </xf>
    <xf numFmtId="49" fontId="1" fillId="0" borderId="41" xfId="0" applyNumberFormat="1" applyFont="1" applyBorder="1" applyAlignment="1">
      <alignment horizontal="center" vertical="center"/>
    </xf>
    <xf numFmtId="0" fontId="1" fillId="16" borderId="11" xfId="0" applyFont="1" applyFill="1" applyBorder="1" applyAlignment="1">
      <alignment horizontal="center" vertical="center"/>
    </xf>
    <xf numFmtId="43" fontId="83" fillId="0" borderId="11" xfId="2" applyFont="1" applyBorder="1" applyAlignment="1">
      <alignment horizontal="center" vertical="center"/>
    </xf>
    <xf numFmtId="0" fontId="83" fillId="0" borderId="11" xfId="0" applyFont="1" applyBorder="1" applyAlignment="1">
      <alignment horizontal="left" vertical="center" wrapText="1"/>
    </xf>
    <xf numFmtId="43" fontId="83" fillId="0" borderId="11" xfId="2" applyNumberFormat="1" applyFont="1" applyBorder="1" applyAlignment="1">
      <alignment horizontal="center" vertical="center"/>
    </xf>
    <xf numFmtId="165" fontId="83" fillId="0" borderId="11" xfId="2" applyNumberFormat="1" applyFont="1" applyBorder="1" applyAlignment="1">
      <alignment horizontal="center" vertical="center"/>
    </xf>
    <xf numFmtId="0" fontId="84" fillId="0" borderId="11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/>
    </xf>
    <xf numFmtId="0" fontId="57" fillId="0" borderId="0" xfId="0" applyFont="1" applyAlignment="1">
      <alignment horizontal="right" vertical="center"/>
    </xf>
    <xf numFmtId="0" fontId="5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3" fillId="0" borderId="0" xfId="0" applyFont="1" applyBorder="1" applyAlignment="1">
      <alignment horizontal="left" vertical="center"/>
    </xf>
    <xf numFmtId="0" fontId="83" fillId="0" borderId="0" xfId="0" applyFont="1" applyBorder="1" applyAlignment="1">
      <alignment horizontal="right" vertical="center"/>
    </xf>
    <xf numFmtId="0" fontId="83" fillId="0" borderId="0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center" vertical="center"/>
    </xf>
    <xf numFmtId="0" fontId="81" fillId="0" borderId="33" xfId="0" applyFont="1" applyBorder="1" applyAlignment="1">
      <alignment horizontal="center" vertical="center"/>
    </xf>
    <xf numFmtId="0" fontId="81" fillId="0" borderId="29" xfId="0" applyFont="1" applyBorder="1" applyAlignment="1">
      <alignment horizontal="left" vertical="center"/>
    </xf>
    <xf numFmtId="0" fontId="83" fillId="0" borderId="11" xfId="0" applyFont="1" applyBorder="1" applyAlignment="1">
      <alignment horizontal="center" vertical="center"/>
    </xf>
    <xf numFmtId="0" fontId="81" fillId="0" borderId="11" xfId="0" applyFont="1" applyBorder="1" applyAlignment="1">
      <alignment horizontal="center"/>
    </xf>
    <xf numFmtId="0" fontId="1" fillId="0" borderId="0" xfId="204" applyFont="1" applyAlignment="1">
      <alignment horizontal="centerContinuous" vertical="center"/>
    </xf>
    <xf numFmtId="14" fontId="1" fillId="0" borderId="0" xfId="204" applyNumberFormat="1" applyFont="1" applyAlignment="1">
      <alignment horizontal="right" vertical="center"/>
    </xf>
    <xf numFmtId="0" fontId="49" fillId="0" borderId="44" xfId="204" applyFont="1" applyBorder="1" applyAlignment="1">
      <alignment horizontal="center" vertical="center"/>
    </xf>
    <xf numFmtId="1" fontId="1" fillId="0" borderId="35" xfId="204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wrapText="1"/>
    </xf>
    <xf numFmtId="0" fontId="46" fillId="0" borderId="0" xfId="0" applyFont="1" applyAlignment="1">
      <alignment horizontal="left" vertical="center"/>
    </xf>
    <xf numFmtId="0" fontId="81" fillId="0" borderId="11" xfId="2" applyNumberFormat="1" applyFont="1" applyBorder="1" applyAlignment="1">
      <alignment horizontal="center" vertical="center"/>
    </xf>
    <xf numFmtId="0" fontId="87" fillId="17" borderId="11" xfId="0" applyFont="1" applyFill="1" applyBorder="1" applyAlignment="1">
      <alignment horizontal="left" vertical="center"/>
    </xf>
    <xf numFmtId="0" fontId="87" fillId="17" borderId="11" xfId="0" applyFont="1" applyFill="1" applyBorder="1" applyAlignment="1">
      <alignment horizontal="center" vertical="center"/>
    </xf>
    <xf numFmtId="168" fontId="87" fillId="17" borderId="11" xfId="2" applyNumberFormat="1" applyFont="1" applyFill="1" applyBorder="1" applyAlignment="1">
      <alignment horizontal="left" vertical="center"/>
    </xf>
    <xf numFmtId="168" fontId="81" fillId="0" borderId="11" xfId="0" applyNumberFormat="1" applyFont="1" applyFill="1" applyBorder="1"/>
    <xf numFmtId="165" fontId="81" fillId="0" borderId="11" xfId="2" applyNumberFormat="1" applyFont="1" applyBorder="1" applyAlignment="1">
      <alignment horizontal="left" vertical="center"/>
    </xf>
    <xf numFmtId="165" fontId="87" fillId="17" borderId="11" xfId="2" applyNumberFormat="1" applyFont="1" applyFill="1" applyBorder="1" applyAlignment="1">
      <alignment horizontal="left" vertical="center"/>
    </xf>
    <xf numFmtId="0" fontId="81" fillId="17" borderId="11" xfId="0" applyFont="1" applyFill="1" applyBorder="1" applyAlignment="1">
      <alignment horizontal="center" vertical="center"/>
    </xf>
    <xf numFmtId="165" fontId="81" fillId="17" borderId="11" xfId="2" applyNumberFormat="1" applyFont="1" applyFill="1" applyBorder="1" applyAlignment="1">
      <alignment horizontal="left" vertical="center"/>
    </xf>
    <xf numFmtId="165" fontId="87" fillId="17" borderId="11" xfId="2" applyNumberFormat="1" applyFont="1" applyFill="1" applyBorder="1" applyAlignment="1">
      <alignment horizontal="left"/>
    </xf>
    <xf numFmtId="0" fontId="87" fillId="17" borderId="11" xfId="0" applyFont="1" applyFill="1" applyBorder="1" applyAlignment="1">
      <alignment horizontal="center"/>
    </xf>
    <xf numFmtId="165" fontId="81" fillId="0" borderId="11" xfId="2" applyNumberFormat="1" applyFont="1" applyBorder="1"/>
    <xf numFmtId="165" fontId="87" fillId="17" borderId="11" xfId="0" applyNumberFormat="1" applyFont="1" applyFill="1" applyBorder="1"/>
    <xf numFmtId="0" fontId="88" fillId="17" borderId="11" xfId="0" applyFont="1" applyFill="1" applyBorder="1"/>
    <xf numFmtId="165" fontId="81" fillId="0" borderId="11" xfId="2" applyNumberFormat="1" applyFont="1" applyBorder="1" applyAlignment="1">
      <alignment horizontal="left"/>
    </xf>
    <xf numFmtId="0" fontId="81" fillId="17" borderId="11" xfId="0" applyFont="1" applyFill="1" applyBorder="1" applyAlignment="1">
      <alignment horizontal="center"/>
    </xf>
    <xf numFmtId="165" fontId="81" fillId="17" borderId="11" xfId="0" applyNumberFormat="1" applyFont="1" applyFill="1" applyBorder="1"/>
    <xf numFmtId="0" fontId="83" fillId="17" borderId="11" xfId="0" applyFont="1" applyFill="1" applyBorder="1"/>
    <xf numFmtId="0" fontId="87" fillId="17" borderId="34" xfId="0" applyFont="1" applyFill="1" applyBorder="1" applyAlignment="1">
      <alignment horizontal="left"/>
    </xf>
    <xf numFmtId="165" fontId="87" fillId="17" borderId="11" xfId="2" applyNumberFormat="1" applyFont="1" applyFill="1" applyBorder="1"/>
    <xf numFmtId="165" fontId="81" fillId="17" borderId="11" xfId="2" applyNumberFormat="1" applyFont="1" applyFill="1" applyBorder="1"/>
    <xf numFmtId="168" fontId="87" fillId="17" borderId="11" xfId="2" applyNumberFormat="1" applyFont="1" applyFill="1" applyBorder="1" applyAlignment="1">
      <alignment horizontal="left"/>
    </xf>
    <xf numFmtId="168" fontId="81" fillId="17" borderId="11" xfId="2" applyNumberFormat="1" applyFont="1" applyFill="1" applyBorder="1" applyAlignment="1">
      <alignment horizontal="left"/>
    </xf>
    <xf numFmtId="0" fontId="81" fillId="0" borderId="0" xfId="0" applyFont="1" applyAlignment="1">
      <alignment horizontal="center"/>
    </xf>
    <xf numFmtId="165" fontId="81" fillId="17" borderId="11" xfId="2" applyNumberFormat="1" applyFont="1" applyFill="1" applyBorder="1" applyAlignment="1">
      <alignment horizontal="left"/>
    </xf>
    <xf numFmtId="168" fontId="87" fillId="17" borderId="11" xfId="2" applyNumberFormat="1" applyFont="1" applyFill="1" applyBorder="1" applyAlignment="1">
      <alignment horizontal="center" vertical="center"/>
    </xf>
    <xf numFmtId="0" fontId="87" fillId="13" borderId="11" xfId="0" applyFont="1" applyFill="1" applyBorder="1" applyAlignment="1">
      <alignment horizontal="center" vertical="center"/>
    </xf>
    <xf numFmtId="0" fontId="87" fillId="13" borderId="11" xfId="0" applyFont="1" applyFill="1" applyBorder="1" applyAlignment="1">
      <alignment horizontal="center"/>
    </xf>
    <xf numFmtId="165" fontId="87" fillId="13" borderId="11" xfId="2" applyNumberFormat="1" applyFont="1" applyFill="1" applyBorder="1" applyAlignment="1">
      <alignment horizontal="center" vertical="center"/>
    </xf>
    <xf numFmtId="0" fontId="87" fillId="17" borderId="25" xfId="0" applyFont="1" applyFill="1" applyBorder="1" applyAlignment="1">
      <alignment horizontal="left" vertical="center"/>
    </xf>
    <xf numFmtId="43" fontId="83" fillId="0" borderId="0" xfId="2" applyFont="1"/>
    <xf numFmtId="43" fontId="87" fillId="17" borderId="11" xfId="2" applyFont="1" applyFill="1" applyBorder="1" applyAlignment="1">
      <alignment horizontal="left" vertical="center"/>
    </xf>
    <xf numFmtId="43" fontId="81" fillId="0" borderId="11" xfId="2" applyFont="1" applyBorder="1"/>
    <xf numFmtId="168" fontId="81" fillId="0" borderId="29" xfId="2" applyNumberFormat="1" applyFont="1" applyFill="1" applyBorder="1"/>
    <xf numFmtId="0" fontId="88" fillId="0" borderId="11" xfId="0" applyFont="1" applyBorder="1"/>
    <xf numFmtId="168" fontId="84" fillId="0" borderId="11" xfId="2" applyNumberFormat="1" applyFont="1" applyBorder="1" applyAlignment="1">
      <alignment horizontal="center" vertical="center"/>
    </xf>
    <xf numFmtId="168" fontId="83" fillId="0" borderId="11" xfId="2" applyNumberFormat="1" applyFont="1" applyBorder="1" applyAlignment="1">
      <alignment horizontal="center" vertical="center"/>
    </xf>
    <xf numFmtId="165" fontId="84" fillId="0" borderId="11" xfId="2" applyNumberFormat="1" applyFont="1" applyBorder="1" applyAlignment="1">
      <alignment horizontal="center" vertical="center"/>
    </xf>
    <xf numFmtId="0" fontId="17" fillId="0" borderId="33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17" fillId="0" borderId="11" xfId="204" applyFont="1" applyBorder="1" applyAlignment="1">
      <alignment horizontal="center" vertical="center"/>
    </xf>
    <xf numFmtId="0" fontId="17" fillId="2" borderId="11" xfId="204" applyFont="1" applyFill="1" applyBorder="1" applyAlignment="1">
      <alignment horizontal="center" vertical="center"/>
    </xf>
    <xf numFmtId="0" fontId="17" fillId="0" borderId="33" xfId="204" applyFont="1" applyBorder="1"/>
    <xf numFmtId="0" fontId="17" fillId="0" borderId="11" xfId="204" applyFont="1" applyBorder="1"/>
    <xf numFmtId="0" fontId="17" fillId="0" borderId="11" xfId="204" applyFont="1" applyFill="1" applyBorder="1"/>
    <xf numFmtId="0" fontId="17" fillId="0" borderId="11" xfId="204" applyFont="1" applyBorder="1" applyAlignment="1">
      <alignment horizontal="right" vertical="center"/>
    </xf>
    <xf numFmtId="14" fontId="17" fillId="0" borderId="0" xfId="204" applyNumberFormat="1" applyFont="1" applyAlignment="1">
      <alignment horizontal="left" vertical="center"/>
    </xf>
    <xf numFmtId="0" fontId="61" fillId="0" borderId="0" xfId="204" applyFont="1" applyBorder="1"/>
    <xf numFmtId="0" fontId="61" fillId="0" borderId="0" xfId="204" applyFont="1"/>
    <xf numFmtId="0" fontId="17" fillId="0" borderId="29" xfId="204" applyFont="1" applyBorder="1" applyAlignment="1">
      <alignment horizontal="center" vertical="center"/>
    </xf>
    <xf numFmtId="0" fontId="17" fillId="0" borderId="11" xfId="204" applyFont="1" applyBorder="1" applyAlignment="1">
      <alignment horizontal="left" vertical="center"/>
    </xf>
    <xf numFmtId="0" fontId="51" fillId="0" borderId="0" xfId="204" applyFont="1" applyAlignment="1">
      <alignment horizontal="center"/>
    </xf>
    <xf numFmtId="0" fontId="17" fillId="0" borderId="0" xfId="204" applyFont="1"/>
    <xf numFmtId="0" fontId="17" fillId="0" borderId="49" xfId="204" applyFont="1" applyBorder="1" applyAlignment="1">
      <alignment horizontal="left" vertical="center"/>
    </xf>
    <xf numFmtId="0" fontId="17" fillId="0" borderId="13" xfId="204" applyFont="1" applyBorder="1" applyAlignment="1">
      <alignment horizontal="left" vertical="center"/>
    </xf>
    <xf numFmtId="0" fontId="17" fillId="0" borderId="28" xfId="204" applyFont="1" applyBorder="1" applyAlignment="1">
      <alignment horizontal="left" vertical="center"/>
    </xf>
    <xf numFmtId="0" fontId="6" fillId="0" borderId="0" xfId="204" applyFont="1" applyBorder="1" applyAlignment="1">
      <alignment horizontal="center" vertical="center"/>
    </xf>
    <xf numFmtId="0" fontId="17" fillId="0" borderId="0" xfId="204" applyFont="1" applyBorder="1" applyAlignment="1">
      <alignment horizontal="right" vertical="center"/>
    </xf>
    <xf numFmtId="0" fontId="6" fillId="0" borderId="0" xfId="204" applyFont="1"/>
    <xf numFmtId="0" fontId="62" fillId="0" borderId="0" xfId="204" applyFont="1"/>
    <xf numFmtId="0" fontId="60" fillId="0" borderId="0" xfId="204" applyFont="1"/>
    <xf numFmtId="0" fontId="12" fillId="0" borderId="0" xfId="204" applyFont="1"/>
    <xf numFmtId="164" fontId="17" fillId="0" borderId="11" xfId="204" applyNumberFormat="1" applyFont="1" applyBorder="1" applyAlignment="1">
      <alignment vertical="center"/>
    </xf>
    <xf numFmtId="0" fontId="0" fillId="0" borderId="11" xfId="0" applyBorder="1" applyAlignment="1">
      <alignment horizontal="center"/>
    </xf>
    <xf numFmtId="0" fontId="17" fillId="11" borderId="11" xfId="0" applyFont="1" applyFill="1" applyBorder="1"/>
    <xf numFmtId="0" fontId="17" fillId="0" borderId="29" xfId="0" applyFont="1" applyBorder="1" applyAlignment="1">
      <alignment textRotation="90"/>
    </xf>
    <xf numFmtId="0" fontId="17" fillId="0" borderId="36" xfId="0" applyFont="1" applyBorder="1" applyAlignment="1">
      <alignment textRotation="90"/>
    </xf>
    <xf numFmtId="0" fontId="17" fillId="0" borderId="33" xfId="0" applyFont="1" applyBorder="1" applyAlignment="1">
      <alignment textRotation="90" wrapText="1"/>
    </xf>
    <xf numFmtId="0" fontId="17" fillId="0" borderId="33" xfId="0" applyFont="1" applyBorder="1" applyAlignment="1">
      <alignment horizontal="center" wrapText="1"/>
    </xf>
    <xf numFmtId="0" fontId="17" fillId="0" borderId="11" xfId="0" applyFont="1" applyFill="1" applyBorder="1"/>
    <xf numFmtId="164" fontId="17" fillId="0" borderId="11" xfId="0" applyNumberFormat="1" applyFont="1" applyFill="1" applyBorder="1"/>
    <xf numFmtId="0" fontId="0" fillId="0" borderId="11" xfId="0" applyBorder="1"/>
    <xf numFmtId="164" fontId="0" fillId="0" borderId="11" xfId="0" applyNumberFormat="1" applyBorder="1"/>
    <xf numFmtId="1" fontId="17" fillId="0" borderId="11" xfId="204" applyNumberFormat="1" applyFont="1" applyBorder="1"/>
    <xf numFmtId="164" fontId="17" fillId="0" borderId="11" xfId="204" applyNumberFormat="1" applyFont="1" applyBorder="1"/>
    <xf numFmtId="0" fontId="45" fillId="0" borderId="11" xfId="214" applyFont="1" applyFill="1" applyBorder="1" applyAlignment="1">
      <alignment horizontal="center" wrapText="1"/>
    </xf>
    <xf numFmtId="0" fontId="45" fillId="0" borderId="11" xfId="214" applyFont="1" applyFill="1" applyBorder="1" applyAlignment="1">
      <alignment horizontal="right" wrapText="1"/>
    </xf>
    <xf numFmtId="0" fontId="45" fillId="0" borderId="44" xfId="214" applyFont="1" applyFill="1" applyBorder="1" applyAlignment="1">
      <alignment horizontal="right" wrapText="1"/>
    </xf>
    <xf numFmtId="16" fontId="45" fillId="0" borderId="29" xfId="214" applyNumberFormat="1" applyFont="1" applyFill="1" applyBorder="1" applyAlignment="1">
      <alignment horizontal="right" wrapText="1"/>
    </xf>
    <xf numFmtId="0" fontId="45" fillId="0" borderId="29" xfId="214" applyFont="1" applyFill="1" applyBorder="1" applyAlignment="1">
      <alignment horizontal="right" wrapText="1"/>
    </xf>
    <xf numFmtId="0" fontId="45" fillId="0" borderId="25" xfId="214" applyFont="1" applyFill="1" applyBorder="1" applyAlignment="1">
      <alignment horizontal="center" wrapText="1"/>
    </xf>
    <xf numFmtId="0" fontId="45" fillId="0" borderId="33" xfId="214" applyFont="1" applyFill="1" applyBorder="1" applyAlignment="1">
      <alignment horizontal="center" wrapText="1"/>
    </xf>
    <xf numFmtId="1" fontId="45" fillId="0" borderId="33" xfId="214" applyNumberFormat="1" applyFont="1" applyFill="1" applyBorder="1" applyAlignment="1">
      <alignment horizontal="right" wrapText="1"/>
    </xf>
    <xf numFmtId="0" fontId="17" fillId="0" borderId="25" xfId="0" applyFont="1" applyBorder="1" applyAlignment="1">
      <alignment vertical="center"/>
    </xf>
    <xf numFmtId="0" fontId="17" fillId="0" borderId="41" xfId="0" applyFont="1" applyBorder="1" applyAlignment="1">
      <alignment textRotation="90" wrapText="1"/>
    </xf>
    <xf numFmtId="0" fontId="17" fillId="0" borderId="41" xfId="0" applyFont="1" applyBorder="1" applyAlignment="1">
      <alignment textRotation="90"/>
    </xf>
    <xf numFmtId="0" fontId="17" fillId="11" borderId="33" xfId="0" applyFont="1" applyFill="1" applyBorder="1" applyAlignment="1">
      <alignment horizontal="left" vertical="center"/>
    </xf>
    <xf numFmtId="164" fontId="17" fillId="0" borderId="33" xfId="37" applyNumberFormat="1" applyFont="1" applyBorder="1" applyAlignment="1">
      <alignment horizontal="center" vertical="center"/>
    </xf>
    <xf numFmtId="164" fontId="17" fillId="0" borderId="33" xfId="202" applyNumberFormat="1" applyFont="1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0" fontId="17" fillId="11" borderId="11" xfId="0" applyFont="1" applyFill="1" applyBorder="1" applyAlignment="1">
      <alignment horizontal="left" vertical="center"/>
    </xf>
    <xf numFmtId="164" fontId="17" fillId="0" borderId="11" xfId="0" applyNumberFormat="1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7" fillId="0" borderId="11" xfId="37" applyFont="1" applyBorder="1" applyAlignment="1">
      <alignment horizontal="center" vertical="center"/>
    </xf>
    <xf numFmtId="164" fontId="17" fillId="0" borderId="11" xfId="202" applyNumberFormat="1" applyFont="1" applyBorder="1" applyAlignment="1">
      <alignment horizontal="center" vertical="center"/>
    </xf>
    <xf numFmtId="0" fontId="0" fillId="11" borderId="0" xfId="0" applyFill="1" applyBorder="1"/>
    <xf numFmtId="164" fontId="17" fillId="0" borderId="11" xfId="37" applyNumberFormat="1" applyFont="1" applyBorder="1" applyAlignment="1">
      <alignment horizontal="center" vertical="center"/>
    </xf>
    <xf numFmtId="2" fontId="17" fillId="0" borderId="11" xfId="0" applyNumberFormat="1" applyFont="1" applyBorder="1" applyAlignment="1">
      <alignment vertical="center"/>
    </xf>
    <xf numFmtId="0" fontId="17" fillId="11" borderId="29" xfId="0" applyFont="1" applyFill="1" applyBorder="1" applyAlignment="1">
      <alignment horizontal="left" vertical="center"/>
    </xf>
    <xf numFmtId="164" fontId="17" fillId="0" borderId="29" xfId="37" applyNumberFormat="1" applyFont="1" applyBorder="1" applyAlignment="1">
      <alignment horizontal="center" vertical="center"/>
    </xf>
    <xf numFmtId="164" fontId="17" fillId="2" borderId="29" xfId="202" applyNumberFormat="1" applyFont="1" applyFill="1" applyBorder="1" applyAlignment="1">
      <alignment horizontal="center" vertical="center"/>
    </xf>
    <xf numFmtId="164" fontId="17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164" fontId="17" fillId="0" borderId="33" xfId="36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2" fontId="17" fillId="0" borderId="33" xfId="36" applyNumberFormat="1" applyFont="1" applyBorder="1" applyAlignment="1">
      <alignment horizontal="center" vertical="center"/>
    </xf>
    <xf numFmtId="164" fontId="17" fillId="2" borderId="11" xfId="0" applyNumberFormat="1" applyFont="1" applyFill="1" applyBorder="1" applyAlignment="1">
      <alignment vertical="center"/>
    </xf>
    <xf numFmtId="0" fontId="51" fillId="0" borderId="33" xfId="0" applyFont="1" applyBorder="1"/>
    <xf numFmtId="0" fontId="17" fillId="0" borderId="11" xfId="0" applyFont="1" applyFill="1" applyBorder="1" applyAlignment="1">
      <alignment horizontal="center"/>
    </xf>
    <xf numFmtId="0" fontId="17" fillId="0" borderId="11" xfId="0" applyFont="1" applyBorder="1" applyAlignment="1">
      <alignment horizontal="left"/>
    </xf>
    <xf numFmtId="0" fontId="17" fillId="0" borderId="33" xfId="0" applyFont="1" applyBorder="1" applyAlignment="1">
      <alignment vertical="center"/>
    </xf>
    <xf numFmtId="0" fontId="51" fillId="0" borderId="11" xfId="0" applyFont="1" applyBorder="1"/>
    <xf numFmtId="0" fontId="17" fillId="0" borderId="11" xfId="0" applyFont="1" applyFill="1" applyBorder="1" applyAlignment="1">
      <alignment horizontal="left"/>
    </xf>
    <xf numFmtId="0" fontId="17" fillId="0" borderId="11" xfId="0" applyFont="1" applyFill="1" applyBorder="1" applyAlignment="1">
      <alignment horizontal="center" vertical="center"/>
    </xf>
    <xf numFmtId="164" fontId="17" fillId="0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17" fillId="0" borderId="33" xfId="0" applyNumberFormat="1" applyFont="1" applyBorder="1" applyAlignment="1">
      <alignment horizontal="center" vertical="center"/>
    </xf>
    <xf numFmtId="0" fontId="0" fillId="0" borderId="34" xfId="0" applyBorder="1"/>
    <xf numFmtId="164" fontId="17" fillId="0" borderId="11" xfId="204" applyNumberFormat="1" applyFont="1" applyBorder="1" applyAlignment="1">
      <alignment horizontal="center"/>
    </xf>
    <xf numFmtId="0" fontId="6" fillId="0" borderId="0" xfId="0" applyFont="1" applyAlignment="1">
      <alignment horizontal="centerContinuous"/>
    </xf>
    <xf numFmtId="0" fontId="17" fillId="0" borderId="41" xfId="0" applyFont="1" applyFill="1" applyBorder="1"/>
    <xf numFmtId="0" fontId="17" fillId="0" borderId="0" xfId="0" applyFont="1" applyFill="1" applyBorder="1"/>
    <xf numFmtId="0" fontId="6" fillId="0" borderId="25" xfId="0" applyFont="1" applyBorder="1"/>
    <xf numFmtId="0" fontId="6" fillId="0" borderId="29" xfId="0" applyFont="1" applyBorder="1"/>
    <xf numFmtId="0" fontId="6" fillId="0" borderId="36" xfId="0" applyFont="1" applyBorder="1"/>
    <xf numFmtId="0" fontId="6" fillId="0" borderId="33" xfId="0" applyFont="1" applyBorder="1"/>
    <xf numFmtId="2" fontId="17" fillId="11" borderId="33" xfId="0" quotePrefix="1" applyNumberFormat="1" applyFont="1" applyFill="1" applyBorder="1" applyAlignment="1">
      <alignment horizontal="center" vertical="center"/>
    </xf>
    <xf numFmtId="164" fontId="17" fillId="11" borderId="33" xfId="0" applyNumberFormat="1" applyFont="1" applyFill="1" applyBorder="1" applyAlignment="1">
      <alignment horizontal="center" vertical="center"/>
    </xf>
    <xf numFmtId="2" fontId="17" fillId="11" borderId="33" xfId="0" applyNumberFormat="1" applyFont="1" applyFill="1" applyBorder="1" applyAlignment="1" applyProtection="1">
      <alignment horizontal="center" vertical="center"/>
      <protection hidden="1"/>
    </xf>
    <xf numFmtId="2" fontId="17" fillId="11" borderId="11" xfId="0" applyNumberFormat="1" applyFont="1" applyFill="1" applyBorder="1" applyAlignment="1">
      <alignment horizontal="center" vertical="center"/>
    </xf>
    <xf numFmtId="166" fontId="17" fillId="11" borderId="11" xfId="0" applyNumberFormat="1" applyFont="1" applyFill="1" applyBorder="1" applyAlignment="1">
      <alignment horizontal="center" vertical="center"/>
    </xf>
    <xf numFmtId="164" fontId="17" fillId="11" borderId="11" xfId="0" applyNumberFormat="1" applyFont="1" applyFill="1" applyBorder="1" applyAlignment="1" applyProtection="1">
      <alignment horizontal="center" vertical="center"/>
      <protection hidden="1"/>
    </xf>
    <xf numFmtId="2" fontId="17" fillId="11" borderId="11" xfId="0" applyNumberFormat="1" applyFont="1" applyFill="1" applyBorder="1" applyAlignment="1" applyProtection="1">
      <alignment horizontal="center" vertical="center"/>
      <protection hidden="1"/>
    </xf>
    <xf numFmtId="164" fontId="17" fillId="11" borderId="11" xfId="0" quotePrefix="1" applyNumberFormat="1" applyFont="1" applyFill="1" applyBorder="1" applyAlignment="1">
      <alignment horizontal="center" vertical="center"/>
    </xf>
    <xf numFmtId="164" fontId="17" fillId="11" borderId="11" xfId="0" applyNumberFormat="1" applyFont="1" applyFill="1" applyBorder="1" applyAlignment="1">
      <alignment horizontal="center" vertical="center"/>
    </xf>
    <xf numFmtId="2" fontId="17" fillId="0" borderId="29" xfId="0" applyNumberFormat="1" applyFont="1" applyBorder="1" applyAlignment="1">
      <alignment horizontal="center" vertical="center"/>
    </xf>
    <xf numFmtId="2" fontId="17" fillId="0" borderId="29" xfId="0" applyNumberFormat="1" applyFont="1" applyBorder="1" applyAlignment="1" applyProtection="1">
      <alignment horizontal="center" vertical="center"/>
      <protection hidden="1"/>
    </xf>
    <xf numFmtId="2" fontId="51" fillId="0" borderId="11" xfId="0" applyNumberFormat="1" applyFont="1" applyBorder="1" applyAlignment="1">
      <alignment horizontal="center" vertical="center"/>
    </xf>
    <xf numFmtId="164" fontId="51" fillId="0" borderId="11" xfId="0" applyNumberFormat="1" applyFont="1" applyBorder="1" applyAlignment="1">
      <alignment horizontal="center" vertical="center"/>
    </xf>
    <xf numFmtId="164" fontId="51" fillId="0" borderId="33" xfId="0" applyNumberFormat="1" applyFont="1" applyBorder="1" applyAlignment="1">
      <alignment horizontal="center" vertical="center"/>
    </xf>
    <xf numFmtId="164" fontId="17" fillId="0" borderId="11" xfId="0" applyNumberFormat="1" applyFont="1" applyBorder="1" applyAlignment="1">
      <alignment horizontal="center" vertical="center"/>
    </xf>
    <xf numFmtId="0" fontId="89" fillId="0" borderId="0" xfId="0" applyFont="1"/>
    <xf numFmtId="0" fontId="89" fillId="0" borderId="0" xfId="0" applyFont="1" applyAlignment="1"/>
    <xf numFmtId="0" fontId="90" fillId="0" borderId="0" xfId="0" applyFont="1" applyAlignment="1"/>
    <xf numFmtId="0" fontId="89" fillId="0" borderId="11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89" fillId="0" borderId="11" xfId="0" applyFont="1" applyBorder="1" applyAlignment="1">
      <alignment horizontal="left" vertical="center"/>
    </xf>
    <xf numFmtId="0" fontId="89" fillId="0" borderId="25" xfId="0" applyFont="1" applyBorder="1" applyAlignment="1">
      <alignment horizontal="left" vertical="center"/>
    </xf>
    <xf numFmtId="0" fontId="17" fillId="0" borderId="3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81" fillId="0" borderId="29" xfId="0" applyFont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Fill="1" applyBorder="1" applyAlignment="1">
      <alignment horizontal="right" vertical="center"/>
    </xf>
    <xf numFmtId="2" fontId="63" fillId="0" borderId="0" xfId="0" applyNumberFormat="1" applyFont="1" applyFill="1" applyBorder="1" applyAlignment="1">
      <alignment horizontal="right" vertical="center"/>
    </xf>
    <xf numFmtId="164" fontId="63" fillId="0" borderId="0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>
      <alignment vertical="center"/>
    </xf>
    <xf numFmtId="0" fontId="63" fillId="0" borderId="0" xfId="0" applyFont="1" applyFill="1" applyAlignment="1">
      <alignment vertical="center"/>
    </xf>
    <xf numFmtId="0" fontId="63" fillId="2" borderId="25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right" vertical="center"/>
    </xf>
    <xf numFmtId="0" fontId="63" fillId="2" borderId="37" xfId="0" applyFont="1" applyFill="1" applyBorder="1" applyAlignment="1">
      <alignment horizontal="right" vertical="center"/>
    </xf>
    <xf numFmtId="0" fontId="63" fillId="2" borderId="34" xfId="0" applyFont="1" applyFill="1" applyBorder="1" applyAlignment="1">
      <alignment horizontal="right" vertical="center"/>
    </xf>
    <xf numFmtId="2" fontId="63" fillId="0" borderId="25" xfId="0" applyNumberFormat="1" applyFont="1" applyFill="1" applyBorder="1" applyAlignment="1">
      <alignment horizontal="right" vertical="center"/>
    </xf>
    <xf numFmtId="164" fontId="63" fillId="0" borderId="37" xfId="0" applyNumberFormat="1" applyFont="1" applyFill="1" applyBorder="1" applyAlignment="1">
      <alignment horizontal="right" vertical="center"/>
    </xf>
    <xf numFmtId="0" fontId="17" fillId="0" borderId="37" xfId="0" applyFont="1" applyFill="1" applyBorder="1" applyAlignment="1">
      <alignment horizontal="right" vertical="center"/>
    </xf>
    <xf numFmtId="0" fontId="63" fillId="0" borderId="37" xfId="0" applyFont="1" applyFill="1" applyBorder="1" applyAlignment="1">
      <alignment horizontal="right" vertical="center"/>
    </xf>
    <xf numFmtId="0" fontId="63" fillId="0" borderId="34" xfId="0" applyFont="1" applyFill="1" applyBorder="1" applyAlignment="1">
      <alignment vertical="center"/>
    </xf>
    <xf numFmtId="0" fontId="17" fillId="0" borderId="25" xfId="0" applyFont="1" applyBorder="1" applyAlignment="1">
      <alignment horizontal="centerContinuous" vertical="center"/>
    </xf>
    <xf numFmtId="0" fontId="17" fillId="0" borderId="37" xfId="0" applyFont="1" applyBorder="1" applyAlignment="1">
      <alignment horizontal="centerContinuous" vertical="center"/>
    </xf>
    <xf numFmtId="0" fontId="17" fillId="0" borderId="34" xfId="0" applyFont="1" applyBorder="1" applyAlignment="1">
      <alignment horizontal="centerContinuous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33" xfId="0" applyFont="1" applyBorder="1" applyAlignment="1">
      <alignment horizontal="right" vertical="center"/>
    </xf>
    <xf numFmtId="0" fontId="17" fillId="11" borderId="49" xfId="0" applyFont="1" applyFill="1" applyBorder="1" applyAlignment="1">
      <alignment horizontal="left" vertical="center"/>
    </xf>
    <xf numFmtId="1" fontId="17" fillId="0" borderId="11" xfId="0" applyNumberFormat="1" applyFont="1" applyBorder="1" applyAlignment="1">
      <alignment horizontal="center" vertical="center"/>
    </xf>
    <xf numFmtId="1" fontId="17" fillId="0" borderId="33" xfId="0" applyNumberFormat="1" applyFont="1" applyBorder="1" applyAlignment="1">
      <alignment horizontal="center" vertical="center"/>
    </xf>
    <xf numFmtId="0" fontId="17" fillId="11" borderId="13" xfId="0" applyFont="1" applyFill="1" applyBorder="1" applyAlignment="1">
      <alignment horizontal="left" vertical="center"/>
    </xf>
    <xf numFmtId="0" fontId="17" fillId="11" borderId="11" xfId="0" applyFont="1" applyFill="1" applyBorder="1" applyAlignment="1">
      <alignment horizontal="center" vertical="center"/>
    </xf>
    <xf numFmtId="1" fontId="17" fillId="11" borderId="11" xfId="0" applyNumberFormat="1" applyFont="1" applyFill="1" applyBorder="1" applyAlignment="1">
      <alignment horizontal="center" vertical="center"/>
    </xf>
    <xf numFmtId="0" fontId="17" fillId="11" borderId="28" xfId="0" applyFont="1" applyFill="1" applyBorder="1" applyAlignment="1">
      <alignment horizontal="left" vertical="center"/>
    </xf>
    <xf numFmtId="0" fontId="17" fillId="2" borderId="29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right" vertical="center"/>
    </xf>
    <xf numFmtId="0" fontId="51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14" fontId="17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Continuous" vertical="center" wrapText="1"/>
    </xf>
    <xf numFmtId="0" fontId="17" fillId="0" borderId="29" xfId="0" applyFont="1" applyBorder="1" applyAlignment="1">
      <alignment horizontal="left" textRotation="90"/>
    </xf>
    <xf numFmtId="0" fontId="17" fillId="0" borderId="36" xfId="0" applyFont="1" applyBorder="1" applyAlignment="1">
      <alignment horizontal="left" textRotation="90"/>
    </xf>
    <xf numFmtId="0" fontId="17" fillId="0" borderId="33" xfId="0" applyFont="1" applyBorder="1" applyAlignment="1">
      <alignment horizontal="left" textRotation="90" wrapText="1"/>
    </xf>
    <xf numFmtId="0" fontId="17" fillId="0" borderId="29" xfId="0" applyFont="1" applyBorder="1" applyAlignment="1">
      <alignment horizontal="right"/>
    </xf>
    <xf numFmtId="0" fontId="17" fillId="0" borderId="36" xfId="0" applyFont="1" applyBorder="1" applyAlignment="1">
      <alignment horizontal="right"/>
    </xf>
    <xf numFmtId="0" fontId="17" fillId="0" borderId="33" xfId="0" applyFont="1" applyBorder="1" applyAlignment="1">
      <alignment horizontal="right" textRotation="90" wrapText="1"/>
    </xf>
    <xf numFmtId="0" fontId="17" fillId="0" borderId="11" xfId="0" applyFont="1" applyBorder="1" applyAlignment="1">
      <alignment horizontal="right" textRotation="90"/>
    </xf>
    <xf numFmtId="0" fontId="17" fillId="0" borderId="11" xfId="0" applyFont="1" applyBorder="1" applyAlignment="1">
      <alignment horizontal="right" textRotation="90" wrapText="1"/>
    </xf>
    <xf numFmtId="0" fontId="17" fillId="0" borderId="33" xfId="0" applyFont="1" applyBorder="1" applyAlignment="1">
      <alignment horizontal="right" wrapText="1"/>
    </xf>
    <xf numFmtId="0" fontId="17" fillId="0" borderId="11" xfId="0" applyFont="1" applyBorder="1" applyAlignment="1">
      <alignment horizontal="right"/>
    </xf>
    <xf numFmtId="0" fontId="17" fillId="0" borderId="11" xfId="0" applyFont="1" applyBorder="1" applyAlignment="1">
      <alignment horizontal="right" wrapText="1"/>
    </xf>
    <xf numFmtId="1" fontId="17" fillId="0" borderId="11" xfId="0" applyNumberFormat="1" applyFont="1" applyBorder="1" applyAlignment="1">
      <alignment horizontal="right"/>
    </xf>
    <xf numFmtId="0" fontId="17" fillId="0" borderId="11" xfId="0" applyFont="1" applyFill="1" applyBorder="1" applyAlignment="1">
      <alignment horizontal="right"/>
    </xf>
    <xf numFmtId="0" fontId="0" fillId="0" borderId="11" xfId="0" applyBorder="1" applyAlignment="1">
      <alignment horizontal="right"/>
    </xf>
    <xf numFmtId="0" fontId="7" fillId="0" borderId="38" xfId="0" applyFont="1" applyBorder="1" applyAlignment="1"/>
    <xf numFmtId="0" fontId="25" fillId="0" borderId="29" xfId="0" applyFont="1" applyBorder="1" applyAlignment="1">
      <alignment horizontal="center" vertical="center"/>
    </xf>
    <xf numFmtId="2" fontId="25" fillId="0" borderId="29" xfId="0" applyNumberFormat="1" applyFont="1" applyBorder="1" applyAlignment="1">
      <alignment horizontal="center" vertical="center"/>
    </xf>
    <xf numFmtId="49" fontId="32" fillId="0" borderId="11" xfId="0" applyNumberFormat="1" applyFont="1" applyBorder="1" applyAlignment="1">
      <alignment horizontal="center" vertical="center"/>
    </xf>
    <xf numFmtId="2" fontId="29" fillId="0" borderId="11" xfId="0" applyNumberFormat="1" applyFont="1" applyBorder="1" applyAlignment="1">
      <alignment horizontal="center" vertical="center"/>
    </xf>
    <xf numFmtId="2" fontId="30" fillId="0" borderId="11" xfId="0" applyNumberFormat="1" applyFont="1" applyBorder="1" applyAlignment="1">
      <alignment horizontal="center" vertical="center"/>
    </xf>
    <xf numFmtId="0" fontId="91" fillId="0" borderId="0" xfId="0" applyFont="1" applyBorder="1"/>
    <xf numFmtId="0" fontId="92" fillId="0" borderId="0" xfId="0" applyFont="1" applyBorder="1"/>
    <xf numFmtId="0" fontId="83" fillId="0" borderId="11" xfId="36" applyFont="1" applyBorder="1" applyAlignment="1">
      <alignment horizontal="center" vertical="center" wrapText="1"/>
    </xf>
    <xf numFmtId="0" fontId="83" fillId="0" borderId="11" xfId="36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83" fillId="0" borderId="11" xfId="36" applyFont="1" applyBorder="1" applyAlignment="1">
      <alignment horizontal="left" vertical="center"/>
    </xf>
    <xf numFmtId="43" fontId="83" fillId="0" borderId="11" xfId="36" applyNumberFormat="1" applyFont="1" applyBorder="1" applyAlignment="1">
      <alignment horizontal="center" vertical="center"/>
    </xf>
    <xf numFmtId="0" fontId="84" fillId="0" borderId="11" xfId="36" applyFont="1" applyBorder="1" applyAlignment="1">
      <alignment horizontal="center" vertical="center"/>
    </xf>
    <xf numFmtId="43" fontId="84" fillId="0" borderId="11" xfId="36" applyNumberFormat="1" applyFont="1" applyBorder="1" applyAlignment="1">
      <alignment horizontal="center" vertical="center"/>
    </xf>
    <xf numFmtId="43" fontId="91" fillId="0" borderId="0" xfId="0" applyNumberFormat="1" applyFont="1" applyBorder="1"/>
    <xf numFmtId="0" fontId="91" fillId="0" borderId="0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34" xfId="0" applyFont="1" applyBorder="1" applyAlignment="1">
      <alignment vertical="center"/>
    </xf>
    <xf numFmtId="0" fontId="28" fillId="0" borderId="11" xfId="0" applyFont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0" fontId="83" fillId="0" borderId="33" xfId="0" applyFont="1" applyBorder="1" applyAlignment="1">
      <alignment horizontal="center" vertical="center"/>
    </xf>
    <xf numFmtId="0" fontId="0" fillId="0" borderId="29" xfId="0" applyBorder="1"/>
    <xf numFmtId="0" fontId="0" fillId="0" borderId="36" xfId="0" applyBorder="1"/>
    <xf numFmtId="0" fontId="17" fillId="0" borderId="41" xfId="0" applyFont="1" applyBorder="1" applyAlignment="1">
      <alignment horizontal="center"/>
    </xf>
    <xf numFmtId="0" fontId="0" fillId="0" borderId="33" xfId="0" applyBorder="1"/>
    <xf numFmtId="0" fontId="17" fillId="0" borderId="39" xfId="0" applyFont="1" applyBorder="1" applyAlignment="1">
      <alignment horizontal="center"/>
    </xf>
    <xf numFmtId="0" fontId="17" fillId="0" borderId="33" xfId="0" applyFont="1" applyFill="1" applyBorder="1"/>
    <xf numFmtId="0" fontId="17" fillId="11" borderId="33" xfId="0" applyFont="1" applyFill="1" applyBorder="1"/>
    <xf numFmtId="0" fontId="17" fillId="13" borderId="11" xfId="0" applyFont="1" applyFill="1" applyBorder="1"/>
    <xf numFmtId="0" fontId="17" fillId="0" borderId="29" xfId="0" applyFont="1" applyFill="1" applyBorder="1"/>
    <xf numFmtId="0" fontId="17" fillId="0" borderId="38" xfId="0" applyFont="1" applyFill="1" applyBorder="1"/>
    <xf numFmtId="0" fontId="21" fillId="0" borderId="41" xfId="0" applyFont="1" applyBorder="1" applyAlignment="1">
      <alignment horizontal="center"/>
    </xf>
    <xf numFmtId="0" fontId="17" fillId="0" borderId="37" xfId="0" applyFont="1" applyBorder="1" applyAlignment="1">
      <alignment vertical="center"/>
    </xf>
    <xf numFmtId="0" fontId="84" fillId="0" borderId="51" xfId="0" applyFont="1" applyBorder="1" applyAlignment="1">
      <alignment horizontal="center" vertical="center" wrapText="1"/>
    </xf>
    <xf numFmtId="0" fontId="83" fillId="0" borderId="51" xfId="0" applyFont="1" applyBorder="1" applyAlignment="1">
      <alignment horizontal="center" vertical="center" textRotation="90" wrapText="1"/>
    </xf>
    <xf numFmtId="0" fontId="1" fillId="11" borderId="11" xfId="0" applyFont="1" applyFill="1" applyBorder="1" applyAlignment="1">
      <alignment horizontal="left"/>
    </xf>
    <xf numFmtId="0" fontId="1" fillId="11" borderId="13" xfId="0" applyFont="1" applyFill="1" applyBorder="1" applyAlignment="1">
      <alignment horizontal="left"/>
    </xf>
    <xf numFmtId="0" fontId="1" fillId="11" borderId="28" xfId="0" applyFont="1" applyFill="1" applyBorder="1" applyAlignment="1">
      <alignment horizontal="left"/>
    </xf>
    <xf numFmtId="0" fontId="1" fillId="11" borderId="29" xfId="0" applyFont="1" applyFill="1" applyBorder="1"/>
    <xf numFmtId="0" fontId="1" fillId="11" borderId="49" xfId="0" applyFont="1" applyFill="1" applyBorder="1" applyAlignment="1">
      <alignment horizontal="left"/>
    </xf>
    <xf numFmtId="1" fontId="1" fillId="11" borderId="11" xfId="0" applyNumberFormat="1" applyFont="1" applyFill="1" applyBorder="1"/>
    <xf numFmtId="0" fontId="1" fillId="11" borderId="11" xfId="0" applyFont="1" applyFill="1" applyBorder="1" applyProtection="1">
      <protection locked="0" hidden="1"/>
    </xf>
    <xf numFmtId="0" fontId="1" fillId="11" borderId="0" xfId="0" quotePrefix="1" applyFont="1" applyFill="1"/>
    <xf numFmtId="14" fontId="1" fillId="11" borderId="0" xfId="0" applyNumberFormat="1" applyFont="1" applyFill="1"/>
    <xf numFmtId="14" fontId="1" fillId="11" borderId="0" xfId="0" quotePrefix="1" applyNumberFormat="1" applyFont="1" applyFill="1"/>
    <xf numFmtId="0" fontId="1" fillId="11" borderId="25" xfId="0" applyFont="1" applyFill="1" applyBorder="1"/>
    <xf numFmtId="0" fontId="1" fillId="11" borderId="37" xfId="0" applyFont="1" applyFill="1" applyBorder="1"/>
    <xf numFmtId="0" fontId="1" fillId="11" borderId="34" xfId="0" applyFont="1" applyFill="1" applyBorder="1"/>
    <xf numFmtId="0" fontId="1" fillId="11" borderId="43" xfId="0" applyFont="1" applyFill="1" applyBorder="1"/>
    <xf numFmtId="0" fontId="1" fillId="11" borderId="42" xfId="0" applyFont="1" applyFill="1" applyBorder="1"/>
    <xf numFmtId="0" fontId="1" fillId="11" borderId="44" xfId="0" applyFont="1" applyFill="1" applyBorder="1"/>
    <xf numFmtId="0" fontId="1" fillId="11" borderId="39" xfId="0" applyFont="1" applyFill="1" applyBorder="1"/>
    <xf numFmtId="0" fontId="1" fillId="11" borderId="38" xfId="0" applyFont="1" applyFill="1" applyBorder="1"/>
    <xf numFmtId="0" fontId="1" fillId="11" borderId="35" xfId="0" applyFont="1" applyFill="1" applyBorder="1"/>
    <xf numFmtId="164" fontId="1" fillId="11" borderId="11" xfId="0" applyNumberFormat="1" applyFont="1" applyFill="1" applyBorder="1"/>
    <xf numFmtId="164" fontId="1" fillId="11" borderId="25" xfId="0" applyNumberFormat="1" applyFont="1" applyFill="1" applyBorder="1"/>
    <xf numFmtId="164" fontId="1" fillId="11" borderId="29" xfId="0" applyNumberFormat="1" applyFont="1" applyFill="1" applyBorder="1"/>
    <xf numFmtId="164" fontId="1" fillId="11" borderId="43" xfId="0" applyNumberFormat="1" applyFont="1" applyFill="1" applyBorder="1"/>
    <xf numFmtId="0" fontId="1" fillId="11" borderId="11" xfId="0" applyFont="1" applyFill="1" applyBorder="1" applyAlignment="1">
      <alignment horizontal="center"/>
    </xf>
    <xf numFmtId="0" fontId="1" fillId="11" borderId="11" xfId="0" quotePrefix="1" applyFont="1" applyFill="1" applyBorder="1"/>
    <xf numFmtId="0" fontId="25" fillId="11" borderId="11" xfId="0" quotePrefix="1" applyFont="1" applyFill="1" applyBorder="1"/>
    <xf numFmtId="164" fontId="1" fillId="11" borderId="11" xfId="0" quotePrefix="1" applyNumberFormat="1" applyFont="1" applyFill="1" applyBorder="1"/>
    <xf numFmtId="164" fontId="25" fillId="11" borderId="11" xfId="0" applyNumberFormat="1" applyFont="1" applyFill="1" applyBorder="1"/>
    <xf numFmtId="0" fontId="1" fillId="11" borderId="4" xfId="0" applyFont="1" applyFill="1" applyBorder="1"/>
    <xf numFmtId="0" fontId="1" fillId="11" borderId="0" xfId="0" quotePrefix="1" applyFont="1" applyFill="1" applyBorder="1"/>
    <xf numFmtId="0" fontId="1" fillId="11" borderId="11" xfId="0" applyFont="1" applyFill="1" applyBorder="1" applyAlignment="1">
      <alignment horizontal="center" vertical="center" wrapText="1"/>
    </xf>
    <xf numFmtId="0" fontId="1" fillId="11" borderId="0" xfId="0" applyFont="1" applyFill="1" applyBorder="1" applyAlignment="1"/>
    <xf numFmtId="164" fontId="2" fillId="11" borderId="11" xfId="0" applyNumberFormat="1" applyFont="1" applyFill="1" applyBorder="1"/>
    <xf numFmtId="0" fontId="1" fillId="11" borderId="36" xfId="0" applyFont="1" applyFill="1" applyBorder="1" applyProtection="1">
      <protection locked="0" hidden="1"/>
    </xf>
    <xf numFmtId="164" fontId="1" fillId="11" borderId="36" xfId="0" applyNumberFormat="1" applyFont="1" applyFill="1" applyBorder="1"/>
    <xf numFmtId="0" fontId="1" fillId="11" borderId="33" xfId="0" applyFont="1" applyFill="1" applyBorder="1" applyProtection="1">
      <protection locked="0" hidden="1"/>
    </xf>
    <xf numFmtId="0" fontId="47" fillId="11" borderId="0" xfId="0" applyFont="1" applyFill="1"/>
    <xf numFmtId="0" fontId="1" fillId="18" borderId="36" xfId="0" quotePrefix="1" applyFont="1" applyFill="1" applyBorder="1" applyProtection="1">
      <protection locked="0" hidden="1"/>
    </xf>
    <xf numFmtId="0" fontId="1" fillId="18" borderId="11" xfId="0" applyFont="1" applyFill="1" applyBorder="1" applyProtection="1">
      <protection locked="0" hidden="1"/>
    </xf>
    <xf numFmtId="164" fontId="1" fillId="18" borderId="36" xfId="0" quotePrefix="1" applyNumberFormat="1" applyFont="1" applyFill="1" applyBorder="1"/>
    <xf numFmtId="164" fontId="1" fillId="18" borderId="11" xfId="0" quotePrefix="1" applyNumberFormat="1" applyFont="1" applyFill="1" applyBorder="1"/>
    <xf numFmtId="0" fontId="1" fillId="18" borderId="11" xfId="0" applyFont="1" applyFill="1" applyBorder="1"/>
    <xf numFmtId="0" fontId="1" fillId="18" borderId="11" xfId="0" quotePrefix="1" applyFont="1" applyFill="1" applyBorder="1"/>
    <xf numFmtId="164" fontId="1" fillId="18" borderId="11" xfId="0" applyNumberFormat="1" applyFont="1" applyFill="1" applyBorder="1"/>
    <xf numFmtId="0" fontId="17" fillId="0" borderId="0" xfId="0" applyFont="1" applyFill="1"/>
    <xf numFmtId="169" fontId="67" fillId="0" borderId="0" xfId="0" applyNumberFormat="1" applyFont="1" applyFill="1"/>
    <xf numFmtId="170" fontId="54" fillId="0" borderId="38" xfId="0" applyNumberFormat="1" applyFont="1" applyFill="1" applyBorder="1" applyAlignment="1">
      <alignment horizontal="right"/>
    </xf>
    <xf numFmtId="169" fontId="67" fillId="0" borderId="38" xfId="0" applyNumberFormat="1" applyFont="1" applyFill="1" applyBorder="1"/>
    <xf numFmtId="0" fontId="68" fillId="0" borderId="38" xfId="0" applyFont="1" applyFill="1" applyBorder="1" applyAlignment="1">
      <alignment horizontal="left" wrapText="1"/>
    </xf>
    <xf numFmtId="0" fontId="17" fillId="0" borderId="38" xfId="0" applyFont="1" applyFill="1" applyBorder="1" applyAlignment="1">
      <alignment vertical="top"/>
    </xf>
    <xf numFmtId="0" fontId="54" fillId="0" borderId="38" xfId="0" applyFont="1" applyFill="1" applyBorder="1"/>
    <xf numFmtId="0" fontId="51" fillId="0" borderId="38" xfId="0" applyFont="1" applyFill="1" applyBorder="1"/>
    <xf numFmtId="170" fontId="54" fillId="0" borderId="0" xfId="0" applyNumberFormat="1" applyFont="1" applyFill="1" applyBorder="1" applyAlignment="1">
      <alignment horizontal="right"/>
    </xf>
    <xf numFmtId="169" fontId="67" fillId="0" borderId="0" xfId="0" applyNumberFormat="1" applyFont="1" applyFill="1" applyBorder="1"/>
    <xf numFmtId="0" fontId="68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vertical="top"/>
    </xf>
    <xf numFmtId="0" fontId="54" fillId="0" borderId="0" xfId="0" applyFont="1" applyFill="1" applyBorder="1"/>
    <xf numFmtId="0" fontId="51" fillId="0" borderId="0" xfId="0" applyFont="1" applyFill="1" applyBorder="1"/>
    <xf numFmtId="0" fontId="68" fillId="0" borderId="0" xfId="0" applyFont="1" applyFill="1" applyBorder="1" applyAlignment="1">
      <alignment horizontal="center" wrapText="1"/>
    </xf>
    <xf numFmtId="170" fontId="51" fillId="0" borderId="0" xfId="0" applyNumberFormat="1" applyFont="1" applyFill="1" applyBorder="1" applyAlignment="1">
      <alignment horizontal="right"/>
    </xf>
    <xf numFmtId="0" fontId="69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wrapText="1"/>
    </xf>
    <xf numFmtId="170" fontId="54" fillId="0" borderId="0" xfId="0" applyNumberFormat="1" applyFont="1" applyFill="1" applyBorder="1" applyAlignment="1">
      <alignment horizontal="right" vertical="top"/>
    </xf>
    <xf numFmtId="0" fontId="54" fillId="0" borderId="0" xfId="0" applyFont="1" applyFill="1" applyBorder="1" applyAlignment="1">
      <alignment vertical="top" wrapText="1"/>
    </xf>
    <xf numFmtId="0" fontId="54" fillId="0" borderId="0" xfId="0" applyFont="1" applyFill="1" applyBorder="1" applyAlignment="1">
      <alignment vertical="top"/>
    </xf>
    <xf numFmtId="0" fontId="69" fillId="0" borderId="0" xfId="0" applyFont="1" applyFill="1" applyBorder="1" applyAlignment="1">
      <alignment horizontal="left" wrapText="1"/>
    </xf>
    <xf numFmtId="0" fontId="68" fillId="0" borderId="0" xfId="0" applyFont="1" applyFill="1" applyBorder="1" applyAlignment="1">
      <alignment wrapText="1"/>
    </xf>
    <xf numFmtId="0" fontId="70" fillId="0" borderId="0" xfId="0" applyFont="1" applyFill="1" applyBorder="1"/>
    <xf numFmtId="0" fontId="54" fillId="0" borderId="0" xfId="0" applyFont="1" applyFill="1" applyBorder="1" applyAlignment="1"/>
    <xf numFmtId="170" fontId="54" fillId="0" borderId="0" xfId="1" applyNumberFormat="1" applyFont="1" applyFill="1" applyBorder="1" applyAlignment="1">
      <alignment horizontal="right"/>
    </xf>
    <xf numFmtId="0" fontId="54" fillId="0" borderId="0" xfId="1" applyFont="1" applyFill="1" applyBorder="1"/>
    <xf numFmtId="0" fontId="54" fillId="0" borderId="0" xfId="1" applyFont="1" applyFill="1" applyBorder="1" applyAlignment="1">
      <alignment wrapText="1"/>
    </xf>
    <xf numFmtId="0" fontId="54" fillId="0" borderId="0" xfId="1" applyFont="1" applyFill="1" applyBorder="1" applyAlignment="1">
      <alignment vertical="top"/>
    </xf>
    <xf numFmtId="0" fontId="54" fillId="0" borderId="0" xfId="1" applyFont="1" applyFill="1" applyBorder="1" applyAlignment="1"/>
    <xf numFmtId="0" fontId="71" fillId="0" borderId="0" xfId="1" applyFont="1" applyFill="1" applyBorder="1"/>
    <xf numFmtId="0" fontId="68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72" fillId="0" borderId="0" xfId="0" applyFont="1" applyFill="1" applyBorder="1"/>
    <xf numFmtId="170" fontId="53" fillId="0" borderId="0" xfId="0" applyNumberFormat="1" applyFont="1" applyFill="1" applyBorder="1" applyAlignment="1">
      <alignment horizontal="right"/>
    </xf>
    <xf numFmtId="0" fontId="53" fillId="0" borderId="0" xfId="0" applyFont="1" applyFill="1" applyBorder="1"/>
    <xf numFmtId="0" fontId="52" fillId="0" borderId="0" xfId="0" applyFont="1" applyFill="1" applyBorder="1"/>
    <xf numFmtId="0" fontId="53" fillId="0" borderId="0" xfId="0" applyFont="1" applyFill="1" applyBorder="1" applyAlignment="1">
      <alignment horizontal="left"/>
    </xf>
    <xf numFmtId="170" fontId="93" fillId="0" borderId="0" xfId="0" applyNumberFormat="1" applyFont="1" applyAlignment="1">
      <alignment horizontal="right"/>
    </xf>
    <xf numFmtId="170" fontId="93" fillId="0" borderId="0" xfId="0" applyNumberFormat="1" applyFont="1" applyBorder="1" applyAlignment="1">
      <alignment horizontal="right"/>
    </xf>
    <xf numFmtId="0" fontId="93" fillId="0" borderId="0" xfId="0" applyFont="1" applyBorder="1" applyAlignment="1"/>
    <xf numFmtId="0" fontId="51" fillId="0" borderId="0" xfId="0" applyFont="1" applyFill="1" applyBorder="1" applyAlignment="1">
      <alignment horizontal="left"/>
    </xf>
    <xf numFmtId="170" fontId="53" fillId="0" borderId="0" xfId="0" applyNumberFormat="1" applyFont="1" applyFill="1" applyBorder="1" applyAlignment="1">
      <alignment horizontal="right" vertical="top"/>
    </xf>
    <xf numFmtId="0" fontId="53" fillId="0" borderId="0" xfId="0" applyFont="1" applyFill="1" applyBorder="1" applyAlignment="1">
      <alignment vertical="top"/>
    </xf>
    <xf numFmtId="0" fontId="73" fillId="0" borderId="0" xfId="0" applyFont="1" applyFill="1" applyBorder="1"/>
    <xf numFmtId="0" fontId="51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left"/>
    </xf>
    <xf numFmtId="170" fontId="74" fillId="0" borderId="0" xfId="0" applyNumberFormat="1" applyFont="1" applyFill="1" applyBorder="1" applyAlignment="1">
      <alignment horizontal="right"/>
    </xf>
    <xf numFmtId="171" fontId="74" fillId="0" borderId="0" xfId="0" applyNumberFormat="1" applyFont="1" applyFill="1" applyBorder="1"/>
    <xf numFmtId="0" fontId="17" fillId="0" borderId="21" xfId="0" applyFont="1" applyFill="1" applyBorder="1"/>
    <xf numFmtId="0" fontId="17" fillId="11" borderId="21" xfId="0" applyFont="1" applyFill="1" applyBorder="1"/>
    <xf numFmtId="0" fontId="17" fillId="19" borderId="21" xfId="0" applyFont="1" applyFill="1" applyBorder="1"/>
    <xf numFmtId="2" fontId="17" fillId="0" borderId="35" xfId="0" applyNumberFormat="1" applyFont="1" applyFill="1" applyBorder="1"/>
    <xf numFmtId="2" fontId="17" fillId="0" borderId="38" xfId="0" applyNumberFormat="1" applyFont="1" applyFill="1" applyBorder="1"/>
    <xf numFmtId="0" fontId="17" fillId="11" borderId="0" xfId="0" applyFont="1" applyFill="1" applyBorder="1"/>
    <xf numFmtId="0" fontId="17" fillId="19" borderId="0" xfId="0" applyFont="1" applyFill="1" applyBorder="1"/>
    <xf numFmtId="2" fontId="17" fillId="0" borderId="44" xfId="0" applyNumberFormat="1" applyFont="1" applyFill="1" applyBorder="1"/>
    <xf numFmtId="2" fontId="17" fillId="0" borderId="42" xfId="0" applyNumberFormat="1" applyFont="1" applyFill="1" applyBorder="1"/>
    <xf numFmtId="0" fontId="19" fillId="0" borderId="21" xfId="0" applyFont="1" applyFill="1" applyBorder="1"/>
    <xf numFmtId="164" fontId="17" fillId="0" borderId="0" xfId="0" applyNumberFormat="1" applyFont="1" applyFill="1"/>
    <xf numFmtId="164" fontId="76" fillId="0" borderId="0" xfId="0" applyNumberFormat="1" applyFont="1" applyFill="1" applyBorder="1"/>
    <xf numFmtId="172" fontId="53" fillId="0" borderId="0" xfId="211" applyNumberFormat="1" applyFont="1" applyFill="1" applyBorder="1" applyAlignment="1" applyProtection="1">
      <alignment horizontal="left"/>
      <protection locked="0"/>
    </xf>
    <xf numFmtId="164" fontId="66" fillId="0" borderId="0" xfId="0" applyNumberFormat="1" applyFont="1" applyFill="1"/>
    <xf numFmtId="169" fontId="94" fillId="0" borderId="0" xfId="0" applyNumberFormat="1" applyFont="1"/>
    <xf numFmtId="165" fontId="67" fillId="0" borderId="0" xfId="0" applyNumberFormat="1" applyFont="1"/>
    <xf numFmtId="0" fontId="95" fillId="0" borderId="0" xfId="0" applyFont="1" applyBorder="1" applyAlignment="1">
      <alignment wrapText="1"/>
    </xf>
    <xf numFmtId="0" fontId="95" fillId="0" borderId="0" xfId="0" applyFont="1" applyBorder="1" applyAlignment="1">
      <alignment horizontal="center" vertical="center"/>
    </xf>
    <xf numFmtId="0" fontId="67" fillId="0" borderId="0" xfId="0" applyFont="1" applyBorder="1"/>
    <xf numFmtId="173" fontId="17" fillId="0" borderId="0" xfId="0" applyNumberFormat="1" applyFont="1"/>
    <xf numFmtId="0" fontId="95" fillId="0" borderId="38" xfId="0" applyFont="1" applyBorder="1" applyAlignment="1">
      <alignment wrapText="1"/>
    </xf>
    <xf numFmtId="0" fontId="95" fillId="0" borderId="38" xfId="0" applyFont="1" applyBorder="1" applyAlignment="1">
      <alignment horizontal="center" vertical="center"/>
    </xf>
    <xf numFmtId="0" fontId="67" fillId="0" borderId="38" xfId="0" applyFont="1" applyBorder="1"/>
    <xf numFmtId="164" fontId="96" fillId="0" borderId="0" xfId="0" applyNumberFormat="1" applyFont="1" applyAlignment="1"/>
    <xf numFmtId="169" fontId="96" fillId="0" borderId="0" xfId="0" applyNumberFormat="1" applyFont="1"/>
    <xf numFmtId="165" fontId="96" fillId="0" borderId="0" xfId="0" applyNumberFormat="1" applyFont="1" applyAlignment="1"/>
    <xf numFmtId="0" fontId="67" fillId="0" borderId="0" xfId="0" applyFont="1"/>
    <xf numFmtId="164" fontId="97" fillId="0" borderId="0" xfId="0" applyNumberFormat="1" applyFont="1" applyBorder="1" applyAlignment="1"/>
    <xf numFmtId="169" fontId="97" fillId="0" borderId="0" xfId="0" applyNumberFormat="1" applyFont="1" applyBorder="1"/>
    <xf numFmtId="165" fontId="97" fillId="0" borderId="0" xfId="0" applyNumberFormat="1" applyFont="1" applyBorder="1" applyAlignment="1"/>
    <xf numFmtId="164" fontId="66" fillId="0" borderId="0" xfId="0" applyNumberFormat="1" applyFont="1" applyFill="1" applyBorder="1"/>
    <xf numFmtId="169" fontId="94" fillId="0" borderId="0" xfId="0" applyNumberFormat="1" applyFont="1" applyBorder="1"/>
    <xf numFmtId="165" fontId="67" fillId="0" borderId="0" xfId="0" applyNumberFormat="1" applyFont="1" applyBorder="1"/>
    <xf numFmtId="0" fontId="95" fillId="0" borderId="0" xfId="0" applyFont="1" applyBorder="1" applyAlignment="1">
      <alignment vertical="top"/>
    </xf>
    <xf numFmtId="164" fontId="96" fillId="0" borderId="0" xfId="0" applyNumberFormat="1" applyFont="1" applyBorder="1" applyAlignment="1"/>
    <xf numFmtId="169" fontId="96" fillId="0" borderId="0" xfId="0" applyNumberFormat="1" applyFont="1" applyBorder="1"/>
    <xf numFmtId="165" fontId="96" fillId="0" borderId="0" xfId="0" applyNumberFormat="1" applyFont="1" applyBorder="1" applyAlignment="1"/>
    <xf numFmtId="0" fontId="45" fillId="0" borderId="0" xfId="0" applyFont="1" applyFill="1"/>
    <xf numFmtId="0" fontId="98" fillId="0" borderId="0" xfId="0" applyFont="1" applyBorder="1" applyAlignment="1">
      <alignment wrapText="1"/>
    </xf>
    <xf numFmtId="0" fontId="98" fillId="0" borderId="0" xfId="0" applyFont="1" applyAlignment="1">
      <alignment wrapText="1"/>
    </xf>
    <xf numFmtId="0" fontId="95" fillId="0" borderId="0" xfId="0" applyFont="1" applyAlignment="1">
      <alignment vertical="center"/>
    </xf>
    <xf numFmtId="0" fontId="95" fillId="0" borderId="0" xfId="0" applyFont="1" applyAlignment="1">
      <alignment wrapText="1"/>
    </xf>
    <xf numFmtId="0" fontId="95" fillId="0" borderId="0" xfId="0" applyFont="1" applyAlignment="1">
      <alignment vertical="top"/>
    </xf>
    <xf numFmtId="0" fontId="99" fillId="0" borderId="0" xfId="0" applyFont="1" applyAlignment="1">
      <alignment wrapText="1"/>
    </xf>
    <xf numFmtId="0" fontId="95" fillId="0" borderId="0" xfId="0" applyFont="1"/>
    <xf numFmtId="164" fontId="97" fillId="0" borderId="0" xfId="0" applyNumberFormat="1" applyFont="1" applyAlignment="1"/>
    <xf numFmtId="169" fontId="97" fillId="0" borderId="0" xfId="0" applyNumberFormat="1" applyFont="1"/>
    <xf numFmtId="165" fontId="97" fillId="0" borderId="0" xfId="0" applyNumberFormat="1" applyFont="1" applyAlignment="1"/>
    <xf numFmtId="164" fontId="77" fillId="0" borderId="0" xfId="0" applyNumberFormat="1" applyFont="1" applyFill="1"/>
    <xf numFmtId="169" fontId="100" fillId="0" borderId="0" xfId="0" applyNumberFormat="1" applyFont="1"/>
    <xf numFmtId="165" fontId="77" fillId="0" borderId="0" xfId="0" applyNumberFormat="1" applyFont="1" applyFill="1"/>
    <xf numFmtId="0" fontId="67" fillId="0" borderId="0" xfId="0" applyFont="1" applyAlignment="1">
      <alignment wrapText="1"/>
    </xf>
    <xf numFmtId="0" fontId="25" fillId="0" borderId="0" xfId="0" applyFont="1" applyAlignment="1"/>
    <xf numFmtId="0" fontId="101" fillId="0" borderId="0" xfId="0" applyFont="1" applyAlignment="1">
      <alignment wrapText="1"/>
    </xf>
    <xf numFmtId="0" fontId="93" fillId="0" borderId="0" xfId="0" applyFont="1" applyAlignment="1"/>
    <xf numFmtId="0" fontId="102" fillId="0" borderId="0" xfId="0" applyFont="1" applyAlignment="1"/>
    <xf numFmtId="165" fontId="96" fillId="0" borderId="0" xfId="2" applyNumberFormat="1" applyFont="1" applyAlignment="1"/>
    <xf numFmtId="0" fontId="67" fillId="0" borderId="0" xfId="0" applyFont="1" applyAlignment="1">
      <alignment vertical="top"/>
    </xf>
    <xf numFmtId="165" fontId="67" fillId="11" borderId="0" xfId="0" applyNumberFormat="1" applyFont="1" applyFill="1"/>
    <xf numFmtId="0" fontId="95" fillId="11" borderId="0" xfId="0" applyFont="1" applyFill="1" applyAlignment="1">
      <alignment wrapText="1"/>
    </xf>
    <xf numFmtId="0" fontId="95" fillId="11" borderId="0" xfId="0" applyFont="1" applyFill="1"/>
    <xf numFmtId="0" fontId="67" fillId="11" borderId="0" xfId="0" applyFont="1" applyFill="1"/>
    <xf numFmtId="0" fontId="45" fillId="11" borderId="0" xfId="0" applyFont="1" applyFill="1"/>
    <xf numFmtId="0" fontId="95" fillId="0" borderId="0" xfId="0" applyFont="1" applyAlignment="1">
      <alignment horizontal="right" vertical="top"/>
    </xf>
    <xf numFmtId="0" fontId="95" fillId="0" borderId="0" xfId="0" applyFont="1" applyAlignment="1">
      <alignment horizontal="left" vertical="top"/>
    </xf>
    <xf numFmtId="165" fontId="67" fillId="0" borderId="0" xfId="0" applyNumberFormat="1" applyFont="1" applyAlignment="1">
      <alignment vertical="top" wrapText="1"/>
    </xf>
    <xf numFmtId="0" fontId="103" fillId="0" borderId="0" xfId="0" applyFont="1" applyAlignment="1"/>
    <xf numFmtId="0" fontId="51" fillId="0" borderId="0" xfId="0" applyFont="1"/>
    <xf numFmtId="0" fontId="104" fillId="0" borderId="0" xfId="0" applyFont="1"/>
    <xf numFmtId="0" fontId="105" fillId="0" borderId="0" xfId="0" applyFont="1" applyAlignment="1">
      <alignment wrapText="1"/>
    </xf>
    <xf numFmtId="0" fontId="102" fillId="0" borderId="0" xfId="0" applyFont="1"/>
    <xf numFmtId="0" fontId="105" fillId="0" borderId="0" xfId="0" applyFont="1"/>
    <xf numFmtId="0" fontId="101" fillId="0" borderId="0" xfId="0" applyFont="1"/>
    <xf numFmtId="1" fontId="67" fillId="0" borderId="0" xfId="0" applyNumberFormat="1" applyFont="1"/>
    <xf numFmtId="0" fontId="98" fillId="0" borderId="0" xfId="0" applyFont="1" applyFill="1" applyBorder="1" applyAlignment="1">
      <alignment vertical="center"/>
    </xf>
    <xf numFmtId="0" fontId="95" fillId="0" borderId="0" xfId="0" applyFont="1" applyAlignment="1">
      <alignment vertical="top" wrapText="1"/>
    </xf>
    <xf numFmtId="0" fontId="93" fillId="0" borderId="0" xfId="0" applyFont="1" applyAlignment="1">
      <alignment vertical="top"/>
    </xf>
    <xf numFmtId="0" fontId="106" fillId="0" borderId="0" xfId="0" applyFont="1"/>
    <xf numFmtId="1" fontId="67" fillId="0" borderId="0" xfId="0" applyNumberFormat="1" applyFont="1" applyFill="1"/>
    <xf numFmtId="0" fontId="95" fillId="0" borderId="0" xfId="0" applyFont="1" applyAlignment="1">
      <alignment vertical="center" wrapText="1"/>
    </xf>
    <xf numFmtId="0" fontId="104" fillId="0" borderId="0" xfId="0" applyFont="1" applyAlignment="1"/>
    <xf numFmtId="164" fontId="76" fillId="0" borderId="0" xfId="0" applyNumberFormat="1" applyFont="1" applyFill="1"/>
    <xf numFmtId="169" fontId="76" fillId="0" borderId="0" xfId="0" applyNumberFormat="1" applyFont="1"/>
    <xf numFmtId="165" fontId="76" fillId="0" borderId="0" xfId="0" applyNumberFormat="1" applyFont="1" applyFill="1"/>
    <xf numFmtId="165" fontId="76" fillId="0" borderId="0" xfId="2" applyNumberFormat="1" applyFont="1" applyFill="1"/>
    <xf numFmtId="0" fontId="76" fillId="0" borderId="0" xfId="0" applyFont="1"/>
    <xf numFmtId="0" fontId="107" fillId="0" borderId="0" xfId="0" applyFont="1"/>
    <xf numFmtId="0" fontId="67" fillId="0" borderId="38" xfId="0" applyFont="1" applyFill="1" applyBorder="1" applyAlignment="1">
      <alignment horizontal="center" vertical="center"/>
    </xf>
    <xf numFmtId="0" fontId="67" fillId="0" borderId="21" xfId="0" applyFont="1" applyFill="1" applyBorder="1" applyAlignment="1">
      <alignment horizontal="center" vertical="center"/>
    </xf>
    <xf numFmtId="169" fontId="67" fillId="0" borderId="21" xfId="0" applyNumberFormat="1" applyFont="1" applyFill="1" applyBorder="1"/>
    <xf numFmtId="0" fontId="67" fillId="0" borderId="0" xfId="0" applyFont="1" applyFill="1" applyBorder="1" applyAlignment="1">
      <alignment horizontal="center" vertical="center"/>
    </xf>
    <xf numFmtId="43" fontId="17" fillId="0" borderId="0" xfId="0" applyNumberFormat="1" applyFont="1" applyFill="1"/>
    <xf numFmtId="165" fontId="17" fillId="0" borderId="0" xfId="0" applyNumberFormat="1" applyFont="1" applyFill="1"/>
    <xf numFmtId="1" fontId="17" fillId="0" borderId="0" xfId="0" applyNumberFormat="1" applyFont="1" applyFill="1"/>
    <xf numFmtId="1" fontId="66" fillId="0" borderId="1" xfId="210" applyNumberFormat="1" applyFont="1" applyFill="1" applyBorder="1" applyAlignment="1">
      <alignment horizontal="right" wrapText="1"/>
    </xf>
    <xf numFmtId="1" fontId="45" fillId="0" borderId="0" xfId="0" applyNumberFormat="1" applyFont="1" applyFill="1"/>
    <xf numFmtId="174" fontId="17" fillId="0" borderId="0" xfId="0" applyNumberFormat="1" applyFont="1"/>
    <xf numFmtId="1" fontId="66" fillId="0" borderId="0" xfId="0" applyNumberFormat="1" applyFont="1" applyFill="1"/>
    <xf numFmtId="0" fontId="67" fillId="0" borderId="0" xfId="0" applyFont="1" applyFill="1"/>
    <xf numFmtId="0" fontId="66" fillId="0" borderId="0" xfId="0" applyFont="1" applyFill="1"/>
    <xf numFmtId="0" fontId="45" fillId="0" borderId="11" xfId="0" applyFont="1" applyFill="1" applyBorder="1"/>
    <xf numFmtId="1" fontId="45" fillId="13" borderId="0" xfId="0" applyNumberFormat="1" applyFont="1" applyFill="1"/>
    <xf numFmtId="0" fontId="45" fillId="0" borderId="11" xfId="0" applyFont="1" applyFill="1" applyBorder="1" applyAlignment="1"/>
    <xf numFmtId="0" fontId="45" fillId="11" borderId="11" xfId="0" applyFont="1" applyFill="1" applyBorder="1"/>
    <xf numFmtId="164" fontId="45" fillId="0" borderId="0" xfId="0" applyNumberFormat="1" applyFont="1" applyFill="1"/>
    <xf numFmtId="1" fontId="66" fillId="11" borderId="0" xfId="0" applyNumberFormat="1" applyFont="1" applyFill="1"/>
    <xf numFmtId="0" fontId="45" fillId="13" borderId="11" xfId="0" applyFont="1" applyFill="1" applyBorder="1"/>
    <xf numFmtId="164" fontId="67" fillId="0" borderId="0" xfId="0" applyNumberFormat="1" applyFont="1" applyFill="1"/>
    <xf numFmtId="0" fontId="45" fillId="0" borderId="33" xfId="0" applyFont="1" applyFill="1" applyBorder="1"/>
    <xf numFmtId="0" fontId="45" fillId="0" borderId="0" xfId="0" applyFont="1" applyFill="1" applyBorder="1"/>
    <xf numFmtId="0" fontId="45" fillId="20" borderId="11" xfId="0" applyFont="1" applyFill="1" applyBorder="1"/>
    <xf numFmtId="0" fontId="17" fillId="13" borderId="0" xfId="0" applyFont="1" applyFill="1" applyBorder="1"/>
    <xf numFmtId="175" fontId="17" fillId="0" borderId="0" xfId="0" applyNumberFormat="1" applyFont="1" applyFill="1"/>
    <xf numFmtId="169" fontId="67" fillId="0" borderId="48" xfId="0" applyNumberFormat="1" applyFont="1" applyFill="1" applyBorder="1" applyAlignment="1">
      <alignment horizontal="center" vertical="center"/>
    </xf>
    <xf numFmtId="0" fontId="51" fillId="0" borderId="5" xfId="0" applyFont="1" applyBorder="1" applyAlignment="1">
      <alignment horizontal="center"/>
    </xf>
    <xf numFmtId="0" fontId="67" fillId="0" borderId="4" xfId="0" applyFont="1" applyBorder="1"/>
    <xf numFmtId="0" fontId="67" fillId="0" borderId="3" xfId="0" applyFont="1" applyBorder="1"/>
    <xf numFmtId="0" fontId="67" fillId="0" borderId="0" xfId="0" applyFont="1" applyFill="1" applyAlignment="1">
      <alignment horizontal="center" vertical="center"/>
    </xf>
    <xf numFmtId="0" fontId="83" fillId="0" borderId="33" xfId="0" applyFont="1" applyBorder="1" applyAlignment="1">
      <alignment horizontal="left" vertical="center"/>
    </xf>
    <xf numFmtId="43" fontId="83" fillId="0" borderId="33" xfId="2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43" fontId="83" fillId="0" borderId="0" xfId="2" applyFont="1" applyBorder="1" applyAlignment="1">
      <alignment horizontal="center" vertical="center"/>
    </xf>
    <xf numFmtId="0" fontId="95" fillId="0" borderId="11" xfId="0" applyFont="1" applyBorder="1" applyAlignment="1">
      <alignment horizontal="left" vertical="center" wrapText="1"/>
    </xf>
    <xf numFmtId="0" fontId="95" fillId="0" borderId="11" xfId="0" applyFont="1" applyBorder="1" applyAlignment="1">
      <alignment horizontal="center" vertical="center" wrapText="1"/>
    </xf>
    <xf numFmtId="0" fontId="108" fillId="0" borderId="11" xfId="0" applyFont="1" applyBorder="1" applyAlignment="1">
      <alignment horizontal="left" vertical="center" wrapText="1"/>
    </xf>
    <xf numFmtId="3" fontId="25" fillId="0" borderId="11" xfId="0" applyNumberFormat="1" applyFont="1" applyBorder="1" applyAlignment="1">
      <alignment horizontal="center" vertical="center" wrapText="1"/>
    </xf>
    <xf numFmtId="4" fontId="25" fillId="0" borderId="11" xfId="0" applyNumberFormat="1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11" xfId="0" applyFont="1" applyBorder="1" applyAlignment="1">
      <alignment vertical="top" wrapText="1"/>
    </xf>
    <xf numFmtId="0" fontId="30" fillId="0" borderId="11" xfId="0" applyFont="1" applyBorder="1" applyAlignment="1">
      <alignment vertical="center" wrapText="1"/>
    </xf>
    <xf numFmtId="0" fontId="1" fillId="11" borderId="0" xfId="0" applyFont="1" applyFill="1" applyAlignment="1">
      <alignment vertical="center"/>
    </xf>
    <xf numFmtId="0" fontId="0" fillId="11" borderId="0" xfId="0" applyFill="1"/>
    <xf numFmtId="0" fontId="25" fillId="11" borderId="11" xfId="0" applyFont="1" applyFill="1" applyBorder="1" applyAlignment="1">
      <alignment vertical="center"/>
    </xf>
    <xf numFmtId="0" fontId="25" fillId="11" borderId="11" xfId="0" applyFont="1" applyFill="1" applyBorder="1" applyAlignment="1">
      <alignment horizontal="center" vertical="center"/>
    </xf>
    <xf numFmtId="164" fontId="25" fillId="11" borderId="11" xfId="0" applyNumberFormat="1" applyFont="1" applyFill="1" applyBorder="1" applyAlignment="1">
      <alignment horizontal="center" vertical="center"/>
    </xf>
    <xf numFmtId="0" fontId="25" fillId="11" borderId="0" xfId="0" applyFont="1" applyFill="1" applyAlignment="1">
      <alignment horizontal="center" vertical="center"/>
    </xf>
    <xf numFmtId="0" fontId="0" fillId="11" borderId="11" xfId="0" applyFill="1" applyBorder="1" applyAlignment="1">
      <alignment vertical="center"/>
    </xf>
    <xf numFmtId="0" fontId="0" fillId="11" borderId="11" xfId="0" applyFill="1" applyBorder="1" applyAlignment="1">
      <alignment horizontal="center" vertical="center"/>
    </xf>
    <xf numFmtId="0" fontId="0" fillId="11" borderId="11" xfId="0" applyFill="1" applyBorder="1"/>
    <xf numFmtId="0" fontId="0" fillId="11" borderId="0" xfId="0" applyFill="1" applyAlignment="1">
      <alignment horizontal="center" vertical="center"/>
    </xf>
    <xf numFmtId="164" fontId="0" fillId="11" borderId="11" xfId="0" applyNumberFormat="1" applyFill="1" applyBorder="1" applyAlignment="1">
      <alignment horizontal="center" vertical="center"/>
    </xf>
    <xf numFmtId="0" fontId="25" fillId="11" borderId="11" xfId="0" applyFont="1" applyFill="1" applyBorder="1" applyAlignment="1">
      <alignment vertical="center" wrapText="1"/>
    </xf>
    <xf numFmtId="164" fontId="25" fillId="0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81" fillId="0" borderId="11" xfId="0" applyFont="1" applyBorder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vertical="top" wrapText="1"/>
    </xf>
    <xf numFmtId="0" fontId="31" fillId="0" borderId="0" xfId="0" applyFont="1" applyAlignment="1">
      <alignment horizontal="right"/>
    </xf>
    <xf numFmtId="0" fontId="31" fillId="0" borderId="37" xfId="0" applyFont="1" applyBorder="1" applyAlignment="1">
      <alignment vertical="center"/>
    </xf>
    <xf numFmtId="0" fontId="31" fillId="0" borderId="34" xfId="0" applyFont="1" applyBorder="1" applyAlignment="1">
      <alignment vertical="center"/>
    </xf>
    <xf numFmtId="0" fontId="31" fillId="0" borderId="11" xfId="0" applyFont="1" applyBorder="1" applyAlignment="1">
      <alignment horizontal="left" vertical="center"/>
    </xf>
    <xf numFmtId="0" fontId="2" fillId="11" borderId="11" xfId="0" applyFont="1" applyFill="1" applyBorder="1" applyAlignment="1">
      <alignment horizontal="center" vertical="center"/>
    </xf>
    <xf numFmtId="0" fontId="20" fillId="0" borderId="11" xfId="0" applyFont="1" applyBorder="1"/>
    <xf numFmtId="164" fontId="20" fillId="0" borderId="11" xfId="0" applyNumberFormat="1" applyFont="1" applyBorder="1" applyAlignment="1">
      <alignment horizontal="center" vertical="center"/>
    </xf>
    <xf numFmtId="0" fontId="109" fillId="0" borderId="11" xfId="0" applyFont="1" applyBorder="1" applyAlignment="1">
      <alignment horizontal="center" vertical="center"/>
    </xf>
    <xf numFmtId="0" fontId="21" fillId="0" borderId="25" xfId="0" applyFont="1" applyBorder="1" applyAlignment="1">
      <alignment vertical="center"/>
    </xf>
    <xf numFmtId="0" fontId="20" fillId="11" borderId="11" xfId="0" applyFont="1" applyFill="1" applyBorder="1" applyAlignment="1">
      <alignment horizontal="center" vertical="center"/>
    </xf>
    <xf numFmtId="0" fontId="20" fillId="11" borderId="11" xfId="0" applyFont="1" applyFill="1" applyBorder="1"/>
    <xf numFmtId="0" fontId="110" fillId="21" borderId="11" xfId="0" applyFont="1" applyFill="1" applyBorder="1" applyAlignment="1">
      <alignment horizontal="center" vertical="center"/>
    </xf>
    <xf numFmtId="0" fontId="2" fillId="21" borderId="11" xfId="0" applyFont="1" applyFill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111" fillId="21" borderId="11" xfId="0" applyFont="1" applyFill="1" applyBorder="1" applyAlignment="1">
      <alignment horizontal="center" vertical="center"/>
    </xf>
    <xf numFmtId="0" fontId="111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/>
    </xf>
    <xf numFmtId="0" fontId="31" fillId="0" borderId="11" xfId="0" applyFont="1" applyBorder="1" applyAlignment="1">
      <alignment vertical="center" wrapText="1"/>
    </xf>
    <xf numFmtId="49" fontId="23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2" fontId="1" fillId="0" borderId="36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2" fontId="23" fillId="0" borderId="0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3" fillId="0" borderId="51" xfId="0" applyFont="1" applyBorder="1" applyAlignment="1">
      <alignment vertical="center" wrapText="1"/>
    </xf>
    <xf numFmtId="0" fontId="112" fillId="0" borderId="0" xfId="0" applyFont="1"/>
    <xf numFmtId="0" fontId="112" fillId="0" borderId="11" xfId="0" applyFont="1" applyBorder="1" applyAlignment="1">
      <alignment horizontal="center" vertical="center" textRotation="90"/>
    </xf>
    <xf numFmtId="0" fontId="112" fillId="0" borderId="11" xfId="0" applyFont="1" applyBorder="1" applyAlignment="1">
      <alignment horizontal="center" vertical="center"/>
    </xf>
    <xf numFmtId="0" fontId="113" fillId="0" borderId="11" xfId="0" applyFont="1" applyBorder="1" applyAlignment="1">
      <alignment horizontal="center" vertical="center"/>
    </xf>
    <xf numFmtId="0" fontId="112" fillId="11" borderId="11" xfId="0" applyFont="1" applyFill="1" applyBorder="1" applyAlignment="1">
      <alignment horizontal="center" vertical="center"/>
    </xf>
    <xf numFmtId="0" fontId="112" fillId="0" borderId="11" xfId="0" applyFont="1" applyBorder="1"/>
    <xf numFmtId="0" fontId="112" fillId="0" borderId="11" xfId="0" applyFont="1" applyBorder="1" applyAlignment="1">
      <alignment horizontal="center" vertical="center" wrapText="1"/>
    </xf>
    <xf numFmtId="0" fontId="112" fillId="18" borderId="11" xfId="0" applyFont="1" applyFill="1" applyBorder="1" applyAlignment="1">
      <alignment horizontal="center" vertical="center"/>
    </xf>
    <xf numFmtId="0" fontId="112" fillId="18" borderId="11" xfId="0" applyFont="1" applyFill="1" applyBorder="1"/>
    <xf numFmtId="0" fontId="113" fillId="22" borderId="11" xfId="0" applyFont="1" applyFill="1" applyBorder="1" applyAlignment="1">
      <alignment horizontal="center" vertical="center"/>
    </xf>
    <xf numFmtId="0" fontId="112" fillId="0" borderId="11" xfId="0" applyFont="1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5" xfId="0" applyFont="1" applyFill="1" applyBorder="1" applyAlignment="1">
      <alignment horizontal="left" vertical="center"/>
    </xf>
    <xf numFmtId="164" fontId="17" fillId="0" borderId="29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11" borderId="11" xfId="0" applyFont="1" applyFill="1" applyBorder="1" applyAlignment="1">
      <alignment horizontal="center"/>
    </xf>
    <xf numFmtId="0" fontId="1" fillId="0" borderId="11" xfId="0" applyFont="1" applyBorder="1" applyAlignment="1">
      <alignment horizontal="center" vertical="center" textRotation="90"/>
    </xf>
    <xf numFmtId="0" fontId="1" fillId="0" borderId="33" xfId="0" applyFont="1" applyBorder="1" applyAlignment="1">
      <alignment horizontal="center" vertical="center" textRotation="90" wrapText="1"/>
    </xf>
    <xf numFmtId="0" fontId="19" fillId="0" borderId="11" xfId="0" applyFont="1" applyBorder="1" applyAlignment="1">
      <alignment horizontal="center" vertical="center"/>
    </xf>
    <xf numFmtId="0" fontId="79" fillId="0" borderId="0" xfId="204" applyFont="1"/>
    <xf numFmtId="0" fontId="1" fillId="0" borderId="37" xfId="0" applyFont="1" applyBorder="1"/>
    <xf numFmtId="0" fontId="1" fillId="0" borderId="25" xfId="0" applyFont="1" applyBorder="1"/>
    <xf numFmtId="0" fontId="90" fillId="0" borderId="11" xfId="0" applyFont="1" applyBorder="1" applyAlignment="1">
      <alignment horizontal="center" vertical="center"/>
    </xf>
    <xf numFmtId="1" fontId="90" fillId="0" borderId="11" xfId="0" applyNumberFormat="1" applyFont="1" applyBorder="1" applyAlignment="1">
      <alignment horizontal="center" vertical="center"/>
    </xf>
    <xf numFmtId="0" fontId="114" fillId="0" borderId="0" xfId="0" applyFont="1"/>
    <xf numFmtId="0" fontId="83" fillId="0" borderId="52" xfId="0" applyFont="1" applyBorder="1" applyAlignment="1">
      <alignment vertical="center" wrapText="1"/>
    </xf>
    <xf numFmtId="0" fontId="25" fillId="0" borderId="11" xfId="0" applyFont="1" applyBorder="1" applyAlignment="1">
      <alignment vertical="center"/>
    </xf>
    <xf numFmtId="1" fontId="17" fillId="0" borderId="11" xfId="0" applyNumberFormat="1" applyFont="1" applyBorder="1" applyAlignment="1">
      <alignment vertical="center"/>
    </xf>
    <xf numFmtId="0" fontId="17" fillId="0" borderId="34" xfId="0" applyFont="1" applyFill="1" applyBorder="1" applyAlignment="1">
      <alignment horizontal="left" vertical="center"/>
    </xf>
    <xf numFmtId="0" fontId="17" fillId="11" borderId="11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17" fillId="21" borderId="11" xfId="0" applyFont="1" applyFill="1" applyBorder="1" applyAlignment="1">
      <alignment vertical="center"/>
    </xf>
    <xf numFmtId="0" fontId="0" fillId="0" borderId="43" xfId="0" applyBorder="1" applyAlignment="1">
      <alignment vertical="center"/>
    </xf>
    <xf numFmtId="0" fontId="17" fillId="0" borderId="44" xfId="0" applyFont="1" applyBorder="1" applyAlignment="1">
      <alignment vertical="center"/>
    </xf>
    <xf numFmtId="164" fontId="17" fillId="0" borderId="34" xfId="0" applyNumberFormat="1" applyFont="1" applyBorder="1" applyAlignment="1">
      <alignment horizontal="center" vertical="center"/>
    </xf>
    <xf numFmtId="0" fontId="17" fillId="7" borderId="11" xfId="0" quotePrefix="1" applyFont="1" applyFill="1" applyBorder="1" applyAlignment="1">
      <alignment horizontal="center" vertical="center"/>
    </xf>
    <xf numFmtId="0" fontId="17" fillId="0" borderId="11" xfId="44" applyFont="1" applyBorder="1" applyAlignment="1">
      <alignment horizontal="center" vertical="center"/>
    </xf>
    <xf numFmtId="2" fontId="17" fillId="0" borderId="33" xfId="0" applyNumberFormat="1" applyFont="1" applyBorder="1" applyAlignment="1">
      <alignment horizontal="center" vertical="center"/>
    </xf>
    <xf numFmtId="0" fontId="17" fillId="11" borderId="33" xfId="0" applyFont="1" applyFill="1" applyBorder="1" applyAlignment="1">
      <alignment horizontal="center"/>
    </xf>
    <xf numFmtId="0" fontId="17" fillId="11" borderId="11" xfId="44" applyFont="1" applyFill="1" applyBorder="1" applyAlignment="1">
      <alignment horizontal="center" vertical="center"/>
    </xf>
    <xf numFmtId="1" fontId="17" fillId="0" borderId="11" xfId="0" applyNumberFormat="1" applyFont="1" applyFill="1" applyBorder="1" applyAlignment="1">
      <alignment horizontal="center" vertical="center"/>
    </xf>
    <xf numFmtId="2" fontId="17" fillId="0" borderId="11" xfId="0" applyNumberFormat="1" applyFont="1" applyBorder="1" applyAlignment="1">
      <alignment horizontal="center" vertical="center"/>
    </xf>
    <xf numFmtId="0" fontId="17" fillId="2" borderId="29" xfId="44" applyFont="1" applyFill="1" applyBorder="1" applyAlignment="1">
      <alignment horizontal="center" vertical="center"/>
    </xf>
    <xf numFmtId="0" fontId="17" fillId="11" borderId="29" xfId="0" applyFont="1" applyFill="1" applyBorder="1" applyAlignment="1">
      <alignment horizontal="center" vertical="center"/>
    </xf>
    <xf numFmtId="2" fontId="17" fillId="2" borderId="29" xfId="0" applyNumberFormat="1" applyFont="1" applyFill="1" applyBorder="1" applyAlignment="1">
      <alignment horizontal="center" vertical="center"/>
    </xf>
    <xf numFmtId="2" fontId="17" fillId="2" borderId="33" xfId="0" applyNumberFormat="1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2" fontId="17" fillId="7" borderId="33" xfId="0" applyNumberFormat="1" applyFont="1" applyFill="1" applyBorder="1" applyAlignment="1">
      <alignment horizontal="center" vertical="center"/>
    </xf>
    <xf numFmtId="2" fontId="17" fillId="7" borderId="11" xfId="0" applyNumberFormat="1" applyFont="1" applyFill="1" applyBorder="1" applyAlignment="1">
      <alignment horizontal="center" vertical="center"/>
    </xf>
    <xf numFmtId="0" fontId="17" fillId="0" borderId="33" xfId="44" applyFont="1" applyBorder="1" applyAlignment="1">
      <alignment horizontal="center" vertical="center"/>
    </xf>
    <xf numFmtId="164" fontId="3" fillId="0" borderId="33" xfId="0" applyNumberFormat="1" applyFont="1" applyBorder="1" applyAlignment="1">
      <alignment horizontal="center" vertical="center"/>
    </xf>
    <xf numFmtId="166" fontId="17" fillId="0" borderId="11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17" fillId="0" borderId="11" xfId="0" quotePrefix="1" applyNumberFormat="1" applyFont="1" applyBorder="1" applyAlignment="1">
      <alignment horizontal="center" vertical="center"/>
    </xf>
    <xf numFmtId="164" fontId="17" fillId="11" borderId="29" xfId="0" applyNumberFormat="1" applyFont="1" applyFill="1" applyBorder="1" applyAlignment="1">
      <alignment horizontal="center" vertical="center"/>
    </xf>
    <xf numFmtId="164" fontId="17" fillId="0" borderId="25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/>
    </xf>
    <xf numFmtId="166" fontId="17" fillId="0" borderId="33" xfId="0" applyNumberFormat="1" applyFont="1" applyBorder="1" applyAlignment="1">
      <alignment horizontal="center" vertical="center"/>
    </xf>
    <xf numFmtId="2" fontId="17" fillId="11" borderId="33" xfId="0" applyNumberFormat="1" applyFont="1" applyFill="1" applyBorder="1" applyAlignment="1">
      <alignment horizontal="center" vertical="center"/>
    </xf>
    <xf numFmtId="166" fontId="1" fillId="0" borderId="11" xfId="0" applyNumberFormat="1" applyFont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2" fontId="1" fillId="0" borderId="11" xfId="0" applyNumberFormat="1" applyFont="1" applyFill="1" applyBorder="1" applyAlignment="1">
      <alignment horizontal="center"/>
    </xf>
    <xf numFmtId="0" fontId="17" fillId="0" borderId="11" xfId="0" quotePrefix="1" applyFont="1" applyBorder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0" fontId="19" fillId="11" borderId="33" xfId="0" applyFont="1" applyFill="1" applyBorder="1" applyAlignment="1">
      <alignment horizontal="center" vertical="center"/>
    </xf>
    <xf numFmtId="0" fontId="19" fillId="11" borderId="11" xfId="0" applyFont="1" applyFill="1" applyBorder="1" applyAlignment="1">
      <alignment horizontal="center" vertical="center"/>
    </xf>
    <xf numFmtId="0" fontId="19" fillId="11" borderId="29" xfId="0" applyFont="1" applyFill="1" applyBorder="1" applyAlignment="1">
      <alignment horizontal="center" vertical="center"/>
    </xf>
    <xf numFmtId="166" fontId="17" fillId="11" borderId="33" xfId="0" applyNumberFormat="1" applyFont="1" applyFill="1" applyBorder="1" applyAlignment="1">
      <alignment horizontal="center" vertical="center"/>
    </xf>
    <xf numFmtId="2" fontId="17" fillId="11" borderId="29" xfId="0" applyNumberFormat="1" applyFont="1" applyFill="1" applyBorder="1" applyAlignment="1">
      <alignment horizontal="center" vertical="center"/>
    </xf>
    <xf numFmtId="49" fontId="32" fillId="0" borderId="35" xfId="0" applyNumberFormat="1" applyFont="1" applyBorder="1" applyAlignment="1">
      <alignment horizontal="left" vertical="center"/>
    </xf>
    <xf numFmtId="49" fontId="32" fillId="0" borderId="34" xfId="0" applyNumberFormat="1" applyFont="1" applyBorder="1" applyAlignment="1">
      <alignment horizontal="left" vertical="center"/>
    </xf>
    <xf numFmtId="49" fontId="32" fillId="0" borderId="44" xfId="0" applyNumberFormat="1" applyFont="1" applyBorder="1" applyAlignment="1">
      <alignment horizontal="left" vertical="center"/>
    </xf>
    <xf numFmtId="164" fontId="1" fillId="0" borderId="11" xfId="0" applyNumberFormat="1" applyFont="1" applyFill="1" applyBorder="1" applyAlignment="1">
      <alignment horizontal="center" vertical="center"/>
    </xf>
    <xf numFmtId="0" fontId="83" fillId="0" borderId="51" xfId="0" applyFont="1" applyBorder="1" applyAlignment="1">
      <alignment horizontal="center" vertical="center" wrapText="1"/>
    </xf>
    <xf numFmtId="0" fontId="83" fillId="0" borderId="52" xfId="0" applyFont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left" vertical="center"/>
    </xf>
    <xf numFmtId="0" fontId="28" fillId="11" borderId="11" xfId="0" applyFont="1" applyFill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1" fontId="1" fillId="0" borderId="11" xfId="0" applyNumberFormat="1" applyFont="1" applyBorder="1" applyAlignment="1">
      <alignment horizontal="center" vertical="center"/>
    </xf>
    <xf numFmtId="0" fontId="91" fillId="11" borderId="0" xfId="0" applyFont="1" applyFill="1" applyBorder="1" applyAlignment="1">
      <alignment horizontal="left"/>
    </xf>
    <xf numFmtId="0" fontId="91" fillId="11" borderId="0" xfId="0" applyFont="1" applyFill="1" applyBorder="1" applyAlignment="1">
      <alignment horizontal="center"/>
    </xf>
    <xf numFmtId="0" fontId="109" fillId="11" borderId="0" xfId="0" applyFont="1" applyFill="1" applyAlignment="1">
      <alignment horizontal="left"/>
    </xf>
    <xf numFmtId="0" fontId="91" fillId="11" borderId="0" xfId="0" applyFont="1" applyFill="1" applyBorder="1" applyAlignment="1"/>
    <xf numFmtId="0" fontId="91" fillId="11" borderId="0" xfId="0" applyFont="1" applyFill="1" applyBorder="1"/>
    <xf numFmtId="0" fontId="91" fillId="11" borderId="0" xfId="0" applyFont="1" applyFill="1"/>
    <xf numFmtId="0" fontId="91" fillId="11" borderId="0" xfId="212" applyFont="1" applyFill="1"/>
    <xf numFmtId="0" fontId="92" fillId="11" borderId="0" xfId="212" applyFont="1" applyFill="1"/>
    <xf numFmtId="0" fontId="2" fillId="0" borderId="0" xfId="0" applyFont="1"/>
    <xf numFmtId="0" fontId="116" fillId="11" borderId="11" xfId="212" applyFont="1" applyFill="1" applyBorder="1" applyAlignment="1">
      <alignment horizontal="center" vertical="center"/>
    </xf>
    <xf numFmtId="49" fontId="116" fillId="11" borderId="11" xfId="213" applyNumberFormat="1" applyFont="1" applyFill="1" applyBorder="1" applyAlignment="1">
      <alignment horizontal="center" vertical="center"/>
    </xf>
    <xf numFmtId="0" fontId="117" fillId="11" borderId="11" xfId="212" applyFont="1" applyFill="1" applyBorder="1" applyAlignment="1">
      <alignment horizontal="center" vertical="center"/>
    </xf>
    <xf numFmtId="1" fontId="117" fillId="11" borderId="11" xfId="212" applyNumberFormat="1" applyFont="1" applyFill="1" applyBorder="1" applyAlignment="1">
      <alignment horizontal="center" vertical="center" wrapText="1"/>
    </xf>
    <xf numFmtId="0" fontId="116" fillId="11" borderId="11" xfId="212" applyFont="1" applyFill="1" applyBorder="1" applyAlignment="1">
      <alignment vertical="center"/>
    </xf>
    <xf numFmtId="0" fontId="117" fillId="11" borderId="11" xfId="213" applyFont="1" applyFill="1" applyBorder="1" applyAlignment="1">
      <alignment horizontal="center" vertical="center"/>
    </xf>
    <xf numFmtId="0" fontId="116" fillId="11" borderId="11" xfId="212" applyFont="1" applyFill="1" applyBorder="1" applyAlignment="1">
      <alignment horizontal="center"/>
    </xf>
    <xf numFmtId="0" fontId="117" fillId="11" borderId="11" xfId="212" applyFont="1" applyFill="1" applyBorder="1" applyAlignment="1">
      <alignment horizontal="center"/>
    </xf>
    <xf numFmtId="0" fontId="117" fillId="11" borderId="11" xfId="212" applyFont="1" applyFill="1" applyBorder="1" applyAlignment="1">
      <alignment vertical="center"/>
    </xf>
    <xf numFmtId="0" fontId="117" fillId="11" borderId="11" xfId="0" applyFont="1" applyFill="1" applyBorder="1" applyAlignment="1">
      <alignment horizontal="center" vertical="center"/>
    </xf>
    <xf numFmtId="0" fontId="117" fillId="11" borderId="11" xfId="0" applyFont="1" applyFill="1" applyBorder="1" applyAlignment="1">
      <alignment horizontal="left" vertical="center" wrapText="1"/>
    </xf>
    <xf numFmtId="0" fontId="116" fillId="11" borderId="11" xfId="212" applyFont="1" applyFill="1" applyBorder="1" applyAlignment="1">
      <alignment vertical="center" wrapText="1"/>
    </xf>
    <xf numFmtId="0" fontId="117" fillId="11" borderId="11" xfId="212" applyFont="1" applyFill="1" applyBorder="1" applyAlignment="1">
      <alignment vertical="center" wrapText="1"/>
    </xf>
    <xf numFmtId="0" fontId="28" fillId="0" borderId="0" xfId="0" applyFont="1" applyAlignment="1">
      <alignment horizontal="center"/>
    </xf>
    <xf numFmtId="0" fontId="118" fillId="0" borderId="43" xfId="0" applyFont="1" applyFill="1" applyBorder="1" applyAlignment="1">
      <alignment vertical="center" textRotation="90" wrapText="1"/>
    </xf>
    <xf numFmtId="0" fontId="58" fillId="0" borderId="42" xfId="0" applyFont="1" applyFill="1" applyBorder="1" applyAlignment="1">
      <alignment vertical="center" wrapText="1"/>
    </xf>
    <xf numFmtId="0" fontId="118" fillId="0" borderId="0" xfId="0" applyFont="1" applyFill="1" applyBorder="1" applyAlignment="1">
      <alignment vertical="center" textRotation="90" wrapText="1"/>
    </xf>
    <xf numFmtId="0" fontId="118" fillId="0" borderId="40" xfId="0" applyFont="1" applyFill="1" applyBorder="1" applyAlignment="1">
      <alignment horizontal="center" vertical="center" textRotation="90" wrapText="1"/>
    </xf>
    <xf numFmtId="0" fontId="118" fillId="0" borderId="11" xfId="0" applyFont="1" applyFill="1" applyBorder="1" applyAlignment="1">
      <alignment horizontal="center" vertical="center" textRotation="90" wrapText="1"/>
    </xf>
    <xf numFmtId="0" fontId="58" fillId="0" borderId="11" xfId="0" applyFont="1" applyFill="1" applyBorder="1" applyAlignment="1">
      <alignment horizontal="center" vertical="center" textRotation="90" wrapText="1"/>
    </xf>
    <xf numFmtId="0" fontId="58" fillId="0" borderId="29" xfId="0" applyFont="1" applyFill="1" applyBorder="1" applyAlignment="1">
      <alignment horizontal="center" vertical="center"/>
    </xf>
    <xf numFmtId="0" fontId="58" fillId="0" borderId="29" xfId="0" applyFont="1" applyFill="1" applyBorder="1" applyAlignment="1">
      <alignment horizontal="center"/>
    </xf>
    <xf numFmtId="0" fontId="58" fillId="11" borderId="29" xfId="0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center"/>
    </xf>
    <xf numFmtId="0" fontId="58" fillId="0" borderId="41" xfId="0" applyFont="1" applyFill="1" applyBorder="1" applyAlignment="1">
      <alignment horizontal="center" vertical="center"/>
    </xf>
    <xf numFmtId="0" fontId="58" fillId="0" borderId="11" xfId="0" applyFont="1" applyFill="1" applyBorder="1" applyAlignment="1">
      <alignment horizontal="center" vertical="center" wrapText="1"/>
    </xf>
    <xf numFmtId="0" fontId="117" fillId="12" borderId="50" xfId="0" applyFont="1" applyFill="1" applyBorder="1" applyAlignment="1">
      <alignment horizontal="left" vertical="center"/>
    </xf>
    <xf numFmtId="0" fontId="117" fillId="12" borderId="50" xfId="0" applyFont="1" applyFill="1" applyBorder="1" applyAlignment="1">
      <alignment horizontal="center" vertical="center" wrapText="1"/>
    </xf>
    <xf numFmtId="0" fontId="119" fillId="12" borderId="50" xfId="0" applyFont="1" applyFill="1" applyBorder="1" applyAlignment="1">
      <alignment horizontal="center" vertical="center" wrapText="1"/>
    </xf>
    <xf numFmtId="0" fontId="119" fillId="12" borderId="53" xfId="0" applyFont="1" applyFill="1" applyBorder="1" applyAlignment="1">
      <alignment horizontal="center" vertical="center" wrapText="1"/>
    </xf>
    <xf numFmtId="0" fontId="58" fillId="12" borderId="11" xfId="0" applyFont="1" applyFill="1" applyBorder="1" applyAlignment="1">
      <alignment horizontal="center" vertical="center"/>
    </xf>
    <xf numFmtId="0" fontId="116" fillId="11" borderId="50" xfId="0" applyFont="1" applyFill="1" applyBorder="1" applyAlignment="1">
      <alignment horizontal="left" vertical="center"/>
    </xf>
    <xf numFmtId="0" fontId="116" fillId="11" borderId="50" xfId="0" applyFont="1" applyFill="1" applyBorder="1" applyAlignment="1">
      <alignment horizontal="center" vertical="center" wrapText="1"/>
    </xf>
    <xf numFmtId="0" fontId="120" fillId="0" borderId="50" xfId="0" applyFont="1" applyBorder="1" applyAlignment="1">
      <alignment horizontal="center" vertical="center" wrapText="1"/>
    </xf>
    <xf numFmtId="0" fontId="120" fillId="0" borderId="53" xfId="0" applyFont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/>
    </xf>
    <xf numFmtId="0" fontId="120" fillId="11" borderId="50" xfId="0" applyFont="1" applyFill="1" applyBorder="1" applyAlignment="1">
      <alignment horizontal="center" vertical="center" wrapText="1"/>
    </xf>
    <xf numFmtId="0" fontId="120" fillId="11" borderId="53" xfId="0" applyFont="1" applyFill="1" applyBorder="1" applyAlignment="1">
      <alignment horizontal="center" vertical="center" wrapText="1"/>
    </xf>
    <xf numFmtId="0" fontId="58" fillId="11" borderId="11" xfId="0" applyFont="1" applyFill="1" applyBorder="1" applyAlignment="1">
      <alignment horizontal="center" vertical="center"/>
    </xf>
    <xf numFmtId="0" fontId="51" fillId="0" borderId="11" xfId="0" applyFont="1" applyBorder="1" applyAlignment="1">
      <alignment vertical="center" wrapText="1"/>
    </xf>
    <xf numFmtId="0" fontId="17" fillId="0" borderId="11" xfId="114" applyFont="1" applyBorder="1" applyAlignment="1">
      <alignment vertical="center" textRotation="90"/>
    </xf>
    <xf numFmtId="0" fontId="51" fillId="0" borderId="11" xfId="114" applyFont="1" applyBorder="1" applyAlignment="1">
      <alignment vertical="center" textRotation="90"/>
    </xf>
    <xf numFmtId="0" fontId="51" fillId="0" borderId="11" xfId="0" applyFont="1" applyBorder="1" applyAlignment="1">
      <alignment horizontal="center" vertical="center" wrapText="1"/>
    </xf>
    <xf numFmtId="0" fontId="51" fillId="0" borderId="11" xfId="203" applyFont="1" applyBorder="1"/>
    <xf numFmtId="0" fontId="51" fillId="0" borderId="11" xfId="204" applyFont="1" applyBorder="1"/>
    <xf numFmtId="0" fontId="51" fillId="0" borderId="11" xfId="205" applyFont="1" applyBorder="1"/>
    <xf numFmtId="0" fontId="17" fillId="0" borderId="11" xfId="203" applyFont="1" applyBorder="1"/>
    <xf numFmtId="0" fontId="17" fillId="0" borderId="11" xfId="205" applyFont="1" applyBorder="1"/>
    <xf numFmtId="49" fontId="17" fillId="0" borderId="11" xfId="0" applyNumberFormat="1" applyFont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31" fillId="0" borderId="11" xfId="0" applyFont="1" applyBorder="1" applyAlignment="1">
      <alignment horizontal="center" vertical="center" wrapText="1"/>
    </xf>
    <xf numFmtId="0" fontId="21" fillId="0" borderId="0" xfId="202" applyFont="1"/>
    <xf numFmtId="0" fontId="21" fillId="0" borderId="11" xfId="202" applyFont="1" applyBorder="1" applyAlignment="1">
      <alignment horizontal="center"/>
    </xf>
    <xf numFmtId="0" fontId="21" fillId="11" borderId="11" xfId="202" applyFont="1" applyFill="1" applyBorder="1" applyAlignment="1">
      <alignment horizontal="center" vertical="center" wrapText="1"/>
    </xf>
    <xf numFmtId="0" fontId="17" fillId="0" borderId="11" xfId="206" applyFont="1" applyBorder="1" applyAlignment="1">
      <alignment vertical="center"/>
    </xf>
    <xf numFmtId="0" fontId="21" fillId="11" borderId="11" xfId="202" applyFont="1" applyFill="1" applyBorder="1" applyAlignment="1">
      <alignment vertical="center"/>
    </xf>
    <xf numFmtId="0" fontId="21" fillId="0" borderId="11" xfId="202" applyFont="1" applyBorder="1" applyAlignment="1">
      <alignment vertical="center"/>
    </xf>
    <xf numFmtId="0" fontId="21" fillId="0" borderId="0" xfId="202" applyFont="1" applyAlignment="1">
      <alignment vertical="center"/>
    </xf>
    <xf numFmtId="0" fontId="22" fillId="11" borderId="11" xfId="202" applyFont="1" applyFill="1" applyBorder="1" applyAlignment="1">
      <alignment vertical="center"/>
    </xf>
    <xf numFmtId="0" fontId="21" fillId="0" borderId="0" xfId="202" applyFont="1" applyAlignment="1">
      <alignment horizontal="center"/>
    </xf>
    <xf numFmtId="0" fontId="31" fillId="0" borderId="0" xfId="125" applyFont="1"/>
    <xf numFmtId="0" fontId="31" fillId="11" borderId="0" xfId="125" applyFont="1" applyFill="1"/>
    <xf numFmtId="0" fontId="31" fillId="11" borderId="11" xfId="125" applyFont="1" applyFill="1" applyBorder="1" applyAlignment="1">
      <alignment horizontal="center" vertical="center"/>
    </xf>
    <xf numFmtId="0" fontId="31" fillId="11" borderId="11" xfId="125" applyFont="1" applyFill="1" applyBorder="1" applyAlignment="1">
      <alignment vertical="center"/>
    </xf>
    <xf numFmtId="0" fontId="31" fillId="11" borderId="11" xfId="125" applyFont="1" applyFill="1" applyBorder="1" applyAlignment="1">
      <alignment horizontal="center" vertical="center" wrapText="1"/>
    </xf>
    <xf numFmtId="177" fontId="31" fillId="11" borderId="11" xfId="125" applyNumberFormat="1" applyFont="1" applyFill="1" applyBorder="1" applyAlignment="1">
      <alignment vertical="center"/>
    </xf>
    <xf numFmtId="164" fontId="31" fillId="11" borderId="11" xfId="125" applyNumberFormat="1" applyFont="1" applyFill="1" applyBorder="1" applyAlignment="1">
      <alignment vertical="center"/>
    </xf>
    <xf numFmtId="0" fontId="31" fillId="11" borderId="11" xfId="125" applyFont="1" applyFill="1" applyBorder="1"/>
    <xf numFmtId="0" fontId="31" fillId="11" borderId="25" xfId="125" applyFont="1" applyFill="1" applyBorder="1" applyAlignment="1">
      <alignment vertical="center"/>
    </xf>
    <xf numFmtId="0" fontId="31" fillId="11" borderId="25" xfId="125" applyFont="1" applyFill="1" applyBorder="1"/>
    <xf numFmtId="0" fontId="1" fillId="0" borderId="25" xfId="206" applyFont="1" applyBorder="1"/>
    <xf numFmtId="0" fontId="46" fillId="0" borderId="0" xfId="125" applyFont="1" applyAlignment="1">
      <alignment horizontal="center" vertical="center"/>
    </xf>
    <xf numFmtId="0" fontId="31" fillId="0" borderId="0" xfId="125" applyFont="1" applyBorder="1" applyAlignment="1">
      <alignment vertical="center"/>
    </xf>
    <xf numFmtId="0" fontId="31" fillId="0" borderId="0" xfId="125" applyFont="1" applyBorder="1"/>
    <xf numFmtId="0" fontId="1" fillId="0" borderId="0" xfId="202" applyFont="1"/>
    <xf numFmtId="0" fontId="1" fillId="0" borderId="11" xfId="202" applyFont="1" applyBorder="1" applyAlignment="1">
      <alignment horizontal="center" wrapText="1"/>
    </xf>
    <xf numFmtId="0" fontId="17" fillId="0" borderId="11" xfId="202" applyFont="1" applyBorder="1" applyAlignment="1">
      <alignment horizontal="center"/>
    </xf>
    <xf numFmtId="0" fontId="17" fillId="0" borderId="11" xfId="202" applyFont="1" applyBorder="1"/>
    <xf numFmtId="0" fontId="17" fillId="0" borderId="0" xfId="202" applyFont="1"/>
    <xf numFmtId="0" fontId="25" fillId="0" borderId="0" xfId="216" applyFont="1"/>
    <xf numFmtId="0" fontId="1" fillId="0" borderId="0" xfId="216" applyFont="1"/>
    <xf numFmtId="0" fontId="2" fillId="0" borderId="0" xfId="216" applyFont="1"/>
    <xf numFmtId="0" fontId="2" fillId="0" borderId="11" xfId="216" applyFont="1" applyBorder="1" applyAlignment="1">
      <alignment horizontal="center" vertical="center" wrapText="1"/>
    </xf>
    <xf numFmtId="0" fontId="2" fillId="0" borderId="11" xfId="216" quotePrefix="1" applyFont="1" applyBorder="1" applyAlignment="1">
      <alignment horizontal="center" vertical="center"/>
    </xf>
    <xf numFmtId="0" fontId="2" fillId="0" borderId="11" xfId="216" quotePrefix="1" applyFont="1" applyBorder="1" applyAlignment="1">
      <alignment horizontal="center" vertical="center" wrapText="1"/>
    </xf>
    <xf numFmtId="0" fontId="2" fillId="0" borderId="11" xfId="216" applyFont="1" applyBorder="1" applyAlignment="1">
      <alignment horizontal="center" vertical="center"/>
    </xf>
    <xf numFmtId="0" fontId="27" fillId="0" borderId="0" xfId="216" applyFont="1"/>
    <xf numFmtId="0" fontId="27" fillId="0" borderId="11" xfId="216" applyFont="1" applyBorder="1" applyAlignment="1">
      <alignment horizontal="center"/>
    </xf>
    <xf numFmtId="0" fontId="27" fillId="0" borderId="11" xfId="216" applyFont="1" applyBorder="1"/>
    <xf numFmtId="0" fontId="2" fillId="0" borderId="0" xfId="202" applyFont="1"/>
    <xf numFmtId="0" fontId="2" fillId="0" borderId="0" xfId="202" applyFont="1" applyAlignment="1"/>
    <xf numFmtId="0" fontId="2" fillId="0" borderId="11" xfId="202" applyFont="1" applyBorder="1" applyAlignment="1">
      <alignment horizontal="center" wrapText="1"/>
    </xf>
    <xf numFmtId="0" fontId="2" fillId="0" borderId="11" xfId="202" applyFont="1" applyBorder="1" applyAlignment="1">
      <alignment horizontal="center"/>
    </xf>
    <xf numFmtId="0" fontId="2" fillId="0" borderId="11" xfId="202" applyFont="1" applyBorder="1"/>
    <xf numFmtId="0" fontId="83" fillId="0" borderId="0" xfId="0" applyFont="1" applyAlignment="1">
      <alignment wrapText="1"/>
    </xf>
    <xf numFmtId="0" fontId="83" fillId="0" borderId="0" xfId="0" applyFont="1" applyAlignment="1">
      <alignment vertical="center"/>
    </xf>
    <xf numFmtId="177" fontId="1" fillId="0" borderId="0" xfId="202" applyNumberFormat="1" applyFont="1" applyAlignment="1">
      <alignment vertical="center"/>
    </xf>
    <xf numFmtId="177" fontId="1" fillId="0" borderId="0" xfId="204" applyNumberFormat="1" applyFont="1" applyAlignment="1">
      <alignment vertical="center"/>
    </xf>
    <xf numFmtId="177" fontId="1" fillId="0" borderId="0" xfId="203" applyNumberFormat="1" applyFont="1" applyAlignment="1">
      <alignment vertical="center"/>
    </xf>
    <xf numFmtId="177" fontId="1" fillId="0" borderId="0" xfId="205" applyNumberFormat="1" applyFont="1" applyAlignment="1">
      <alignment vertical="center"/>
    </xf>
    <xf numFmtId="177" fontId="1" fillId="0" borderId="0" xfId="206" applyNumberFormat="1" applyFont="1" applyAlignment="1">
      <alignment vertical="center"/>
    </xf>
    <xf numFmtId="177" fontId="1" fillId="0" borderId="0" xfId="208" applyNumberFormat="1" applyFont="1" applyAlignment="1">
      <alignment vertical="center"/>
    </xf>
    <xf numFmtId="177" fontId="1" fillId="0" borderId="0" xfId="34" applyNumberFormat="1" applyFont="1" applyAlignment="1">
      <alignment vertical="center"/>
    </xf>
    <xf numFmtId="177" fontId="1" fillId="0" borderId="0" xfId="36" applyNumberFormat="1" applyFont="1" applyAlignment="1">
      <alignment vertical="center"/>
    </xf>
    <xf numFmtId="177" fontId="1" fillId="0" borderId="0" xfId="38" applyNumberFormat="1" applyFont="1" applyAlignment="1">
      <alignment vertical="center"/>
    </xf>
    <xf numFmtId="177" fontId="1" fillId="0" borderId="0" xfId="39" applyNumberFormat="1" applyFont="1" applyAlignment="1">
      <alignment vertical="center"/>
    </xf>
    <xf numFmtId="177" fontId="1" fillId="0" borderId="0" xfId="40" applyNumberFormat="1" applyFont="1" applyAlignment="1">
      <alignment vertical="center"/>
    </xf>
    <xf numFmtId="0" fontId="83" fillId="0" borderId="0" xfId="0" applyFont="1" applyFill="1" applyAlignment="1">
      <alignment vertical="center"/>
    </xf>
    <xf numFmtId="177" fontId="1" fillId="0" borderId="0" xfId="205" applyNumberFormat="1" applyFont="1" applyFill="1" applyAlignment="1">
      <alignment vertical="center"/>
    </xf>
    <xf numFmtId="177" fontId="1" fillId="0" borderId="0" xfId="206" applyNumberFormat="1" applyFont="1" applyFill="1" applyAlignment="1">
      <alignment vertical="center"/>
    </xf>
    <xf numFmtId="177" fontId="1" fillId="0" borderId="0" xfId="208" applyNumberFormat="1" applyFont="1" applyFill="1" applyAlignment="1">
      <alignment vertical="center"/>
    </xf>
    <xf numFmtId="177" fontId="1" fillId="0" borderId="0" xfId="202" applyNumberFormat="1" applyFont="1" applyFill="1" applyAlignment="1">
      <alignment vertical="center"/>
    </xf>
    <xf numFmtId="177" fontId="1" fillId="0" borderId="0" xfId="34" applyNumberFormat="1" applyFont="1" applyFill="1" applyAlignment="1">
      <alignment vertical="center"/>
    </xf>
    <xf numFmtId="177" fontId="1" fillId="0" borderId="0" xfId="36" applyNumberFormat="1" applyFont="1" applyFill="1" applyAlignment="1">
      <alignment vertical="center"/>
    </xf>
    <xf numFmtId="177" fontId="1" fillId="0" borderId="0" xfId="38" applyNumberFormat="1" applyFont="1" applyFill="1" applyAlignment="1">
      <alignment vertical="center"/>
    </xf>
    <xf numFmtId="177" fontId="1" fillId="0" borderId="0" xfId="39" applyNumberFormat="1" applyFont="1" applyFill="1" applyAlignment="1">
      <alignment vertical="center"/>
    </xf>
    <xf numFmtId="177" fontId="1" fillId="0" borderId="0" xfId="40" applyNumberFormat="1" applyFont="1" applyFill="1" applyAlignment="1">
      <alignment vertical="center"/>
    </xf>
    <xf numFmtId="0" fontId="84" fillId="24" borderId="11" xfId="0" applyFont="1" applyFill="1" applyBorder="1" applyAlignment="1">
      <alignment vertical="center"/>
    </xf>
    <xf numFmtId="177" fontId="25" fillId="24" borderId="11" xfId="202" applyNumberFormat="1" applyFont="1" applyFill="1" applyBorder="1" applyAlignment="1">
      <alignment vertical="center"/>
    </xf>
    <xf numFmtId="177" fontId="25" fillId="24" borderId="11" xfId="204" applyNumberFormat="1" applyFont="1" applyFill="1" applyBorder="1" applyAlignment="1">
      <alignment vertical="center"/>
    </xf>
    <xf numFmtId="177" fontId="25" fillId="24" borderId="11" xfId="203" applyNumberFormat="1" applyFont="1" applyFill="1" applyBorder="1" applyAlignment="1">
      <alignment vertical="center"/>
    </xf>
    <xf numFmtId="177" fontId="25" fillId="24" borderId="11" xfId="205" applyNumberFormat="1" applyFont="1" applyFill="1" applyBorder="1" applyAlignment="1">
      <alignment vertical="center"/>
    </xf>
    <xf numFmtId="177" fontId="25" fillId="24" borderId="11" xfId="206" applyNumberFormat="1" applyFont="1" applyFill="1" applyBorder="1" applyAlignment="1">
      <alignment vertical="center"/>
    </xf>
    <xf numFmtId="177" fontId="25" fillId="24" borderId="11" xfId="208" applyNumberFormat="1" applyFont="1" applyFill="1" applyBorder="1" applyAlignment="1">
      <alignment vertical="center"/>
    </xf>
    <xf numFmtId="177" fontId="25" fillId="24" borderId="11" xfId="34" applyNumberFormat="1" applyFont="1" applyFill="1" applyBorder="1" applyAlignment="1">
      <alignment vertical="center"/>
    </xf>
    <xf numFmtId="177" fontId="25" fillId="24" borderId="11" xfId="36" applyNumberFormat="1" applyFont="1" applyFill="1" applyBorder="1" applyAlignment="1">
      <alignment vertical="center"/>
    </xf>
    <xf numFmtId="177" fontId="25" fillId="24" borderId="11" xfId="38" applyNumberFormat="1" applyFont="1" applyFill="1" applyBorder="1" applyAlignment="1">
      <alignment vertical="center"/>
    </xf>
    <xf numFmtId="177" fontId="25" fillId="24" borderId="11" xfId="39" applyNumberFormat="1" applyFont="1" applyFill="1" applyBorder="1" applyAlignment="1">
      <alignment vertical="center"/>
    </xf>
    <xf numFmtId="177" fontId="25" fillId="24" borderId="11" xfId="40" applyNumberFormat="1" applyFont="1" applyFill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1" xfId="206" applyFont="1" applyBorder="1" applyAlignment="1">
      <alignment vertical="center"/>
    </xf>
    <xf numFmtId="0" fontId="1" fillId="0" borderId="11" xfId="207" applyFont="1" applyBorder="1" applyAlignment="1">
      <alignment vertical="center"/>
    </xf>
    <xf numFmtId="0" fontId="1" fillId="0" borderId="11" xfId="208" applyFont="1" applyBorder="1" applyAlignment="1">
      <alignment vertical="center"/>
    </xf>
    <xf numFmtId="0" fontId="25" fillId="0" borderId="11" xfId="206" applyFont="1" applyBorder="1" applyAlignment="1">
      <alignment horizontal="center" vertical="center"/>
    </xf>
    <xf numFmtId="0" fontId="25" fillId="0" borderId="11" xfId="206" applyFont="1" applyBorder="1" applyAlignment="1">
      <alignment vertical="center"/>
    </xf>
    <xf numFmtId="0" fontId="25" fillId="0" borderId="11" xfId="207" applyFont="1" applyBorder="1" applyAlignment="1">
      <alignment vertical="center"/>
    </xf>
    <xf numFmtId="0" fontId="25" fillId="0" borderId="11" xfId="208" applyFont="1" applyBorder="1" applyAlignment="1">
      <alignment vertical="center"/>
    </xf>
    <xf numFmtId="0" fontId="1" fillId="0" borderId="11" xfId="0" applyFont="1" applyBorder="1" applyAlignment="1">
      <alignment horizontal="right" vertical="center"/>
    </xf>
    <xf numFmtId="0" fontId="34" fillId="0" borderId="0" xfId="44" applyFont="1" applyBorder="1" applyAlignment="1">
      <alignment horizontal="center"/>
    </xf>
    <xf numFmtId="0" fontId="38" fillId="0" borderId="0" xfId="44" applyFont="1" applyBorder="1" applyAlignment="1">
      <alignment horizontal="center" wrapText="1"/>
    </xf>
    <xf numFmtId="0" fontId="38" fillId="0" borderId="0" xfId="44" applyFont="1" applyBorder="1" applyAlignment="1">
      <alignment horizontal="center"/>
    </xf>
    <xf numFmtId="0" fontId="37" fillId="0" borderId="0" xfId="44" applyFont="1" applyBorder="1" applyAlignment="1">
      <alignment horizontal="center" wrapText="1"/>
    </xf>
    <xf numFmtId="0" fontId="37" fillId="0" borderId="0" xfId="44" applyFont="1" applyBorder="1" applyAlignment="1">
      <alignment horizontal="center"/>
    </xf>
    <xf numFmtId="0" fontId="17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0" fontId="23" fillId="0" borderId="0" xfId="0" applyFont="1" applyAlignment="1">
      <alignment horizont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Alignment="1">
      <alignment horizontal="center"/>
    </xf>
    <xf numFmtId="0" fontId="23" fillId="0" borderId="4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" fillId="0" borderId="4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9" fillId="0" borderId="29" xfId="0" applyFont="1" applyFill="1" applyBorder="1" applyAlignment="1">
      <alignment horizontal="center" vertical="center" wrapText="1"/>
    </xf>
    <xf numFmtId="0" fontId="29" fillId="0" borderId="33" xfId="0" applyFont="1" applyFill="1" applyBorder="1" applyAlignment="1">
      <alignment horizontal="center" vertical="center" wrapText="1"/>
    </xf>
    <xf numFmtId="0" fontId="29" fillId="11" borderId="29" xfId="0" applyFont="1" applyFill="1" applyBorder="1" applyAlignment="1">
      <alignment horizontal="center" vertical="center" wrapText="1"/>
    </xf>
    <xf numFmtId="0" fontId="29" fillId="11" borderId="33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1" fillId="11" borderId="38" xfId="0" applyFont="1" applyFill="1" applyBorder="1" applyAlignment="1">
      <alignment horizontal="right" vertical="center"/>
    </xf>
    <xf numFmtId="0" fontId="29" fillId="11" borderId="25" xfId="0" applyFont="1" applyFill="1" applyBorder="1" applyAlignment="1">
      <alignment horizontal="center" vertical="center"/>
    </xf>
    <xf numFmtId="0" fontId="29" fillId="11" borderId="34" xfId="0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" fillId="11" borderId="0" xfId="0" applyFont="1" applyFill="1" applyBorder="1" applyAlignment="1">
      <alignment horizontal="right" vertical="center"/>
    </xf>
    <xf numFmtId="0" fontId="17" fillId="0" borderId="0" xfId="0" applyFont="1" applyAlignment="1">
      <alignment horizontal="center"/>
    </xf>
    <xf numFmtId="0" fontId="17" fillId="0" borderId="38" xfId="0" applyFont="1" applyBorder="1" applyAlignment="1">
      <alignment horizontal="right"/>
    </xf>
    <xf numFmtId="0" fontId="17" fillId="0" borderId="38" xfId="0" applyFont="1" applyBorder="1" applyAlignment="1">
      <alignment horizontal="center"/>
    </xf>
    <xf numFmtId="0" fontId="17" fillId="0" borderId="37" xfId="0" applyFont="1" applyBorder="1" applyAlignment="1">
      <alignment horizontal="center" vertical="center" wrapText="1"/>
    </xf>
    <xf numFmtId="0" fontId="83" fillId="0" borderId="0" xfId="0" applyFont="1" applyAlignment="1">
      <alignment horizontal="center"/>
    </xf>
    <xf numFmtId="0" fontId="83" fillId="0" borderId="38" xfId="0" applyFont="1" applyBorder="1" applyAlignment="1">
      <alignment horizontal="right" vertical="center"/>
    </xf>
    <xf numFmtId="0" fontId="25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21" fillId="0" borderId="0" xfId="202" applyFont="1" applyAlignment="1">
      <alignment horizontal="center"/>
    </xf>
    <xf numFmtId="0" fontId="1" fillId="0" borderId="0" xfId="202" applyFont="1" applyAlignment="1">
      <alignment horizontal="center" vertical="center"/>
    </xf>
    <xf numFmtId="0" fontId="21" fillId="0" borderId="0" xfId="202" applyFont="1" applyBorder="1" applyAlignment="1">
      <alignment horizontal="right"/>
    </xf>
    <xf numFmtId="0" fontId="21" fillId="11" borderId="11" xfId="202" applyFont="1" applyFill="1" applyBorder="1" applyAlignment="1">
      <alignment horizontal="center" vertical="center" wrapText="1"/>
    </xf>
    <xf numFmtId="0" fontId="21" fillId="11" borderId="11" xfId="202" applyFont="1" applyFill="1" applyBorder="1" applyAlignment="1">
      <alignment horizontal="center" vertical="center"/>
    </xf>
    <xf numFmtId="0" fontId="21" fillId="0" borderId="11" xfId="202" applyFont="1" applyBorder="1" applyAlignment="1">
      <alignment horizontal="center" vertical="center"/>
    </xf>
    <xf numFmtId="0" fontId="21" fillId="11" borderId="29" xfId="202" applyFont="1" applyFill="1" applyBorder="1" applyAlignment="1">
      <alignment horizontal="center" vertical="center" wrapText="1"/>
    </xf>
    <xf numFmtId="0" fontId="21" fillId="11" borderId="33" xfId="202" applyFont="1" applyFill="1" applyBorder="1" applyAlignment="1">
      <alignment horizontal="center" vertical="center" wrapText="1"/>
    </xf>
    <xf numFmtId="0" fontId="31" fillId="0" borderId="0" xfId="125" applyFont="1" applyAlignment="1">
      <alignment horizontal="center"/>
    </xf>
    <xf numFmtId="0" fontId="1" fillId="0" borderId="0" xfId="125" applyFont="1" applyAlignment="1">
      <alignment vertical="center" wrapText="1"/>
    </xf>
    <xf numFmtId="0" fontId="1" fillId="0" borderId="0" xfId="125" applyFont="1" applyAlignment="1">
      <alignment vertical="center"/>
    </xf>
    <xf numFmtId="0" fontId="1" fillId="0" borderId="38" xfId="125" applyFont="1" applyBorder="1" applyAlignment="1">
      <alignment horizontal="left" vertical="center" wrapText="1"/>
    </xf>
    <xf numFmtId="0" fontId="31" fillId="11" borderId="11" xfId="125" applyFont="1" applyFill="1" applyBorder="1" applyAlignment="1">
      <alignment horizontal="center" vertical="center" wrapText="1"/>
    </xf>
    <xf numFmtId="0" fontId="31" fillId="11" borderId="11" xfId="125" applyFont="1" applyFill="1" applyBorder="1" applyAlignment="1">
      <alignment horizontal="center" vertical="center"/>
    </xf>
    <xf numFmtId="0" fontId="31" fillId="0" borderId="0" xfId="125" applyFont="1" applyAlignment="1">
      <alignment horizontal="center" vertical="center"/>
    </xf>
    <xf numFmtId="0" fontId="2" fillId="0" borderId="38" xfId="202" applyFont="1" applyBorder="1" applyAlignment="1">
      <alignment horizontal="right"/>
    </xf>
    <xf numFmtId="0" fontId="27" fillId="0" borderId="11" xfId="202" applyFont="1" applyBorder="1" applyAlignment="1">
      <alignment horizontal="center" vertical="center" wrapText="1"/>
    </xf>
    <xf numFmtId="0" fontId="27" fillId="0" borderId="29" xfId="202" applyFont="1" applyBorder="1" applyAlignment="1">
      <alignment horizontal="center" vertical="center" wrapText="1"/>
    </xf>
    <xf numFmtId="0" fontId="27" fillId="0" borderId="33" xfId="202" applyFont="1" applyBorder="1" applyAlignment="1">
      <alignment horizontal="center" vertical="center" wrapText="1"/>
    </xf>
    <xf numFmtId="0" fontId="2" fillId="0" borderId="29" xfId="216" applyFont="1" applyBorder="1" applyAlignment="1">
      <alignment horizontal="center" vertical="center" wrapText="1"/>
    </xf>
    <xf numFmtId="0" fontId="2" fillId="0" borderId="36" xfId="216" applyFont="1" applyBorder="1" applyAlignment="1">
      <alignment horizontal="center" vertical="center" wrapText="1"/>
    </xf>
    <xf numFmtId="0" fontId="2" fillId="0" borderId="11" xfId="216" applyFont="1" applyBorder="1" applyAlignment="1">
      <alignment horizontal="center" vertical="center" wrapText="1"/>
    </xf>
    <xf numFmtId="0" fontId="2" fillId="0" borderId="29" xfId="216" applyFont="1" applyBorder="1" applyAlignment="1">
      <alignment horizontal="center" vertical="center"/>
    </xf>
    <xf numFmtId="0" fontId="2" fillId="0" borderId="36" xfId="216" applyFont="1" applyBorder="1" applyAlignment="1">
      <alignment horizontal="center" vertical="center"/>
    </xf>
    <xf numFmtId="0" fontId="2" fillId="0" borderId="11" xfId="216" applyFont="1" applyBorder="1" applyAlignment="1">
      <alignment horizontal="center" vertical="center"/>
    </xf>
    <xf numFmtId="0" fontId="2" fillId="0" borderId="25" xfId="216" applyFont="1" applyBorder="1" applyAlignment="1">
      <alignment horizontal="center" vertical="center"/>
    </xf>
    <xf numFmtId="0" fontId="2" fillId="0" borderId="37" xfId="216" applyFont="1" applyBorder="1" applyAlignment="1">
      <alignment horizontal="center" vertical="center"/>
    </xf>
    <xf numFmtId="0" fontId="2" fillId="0" borderId="43" xfId="216" applyFont="1" applyBorder="1" applyAlignment="1">
      <alignment horizontal="center" vertical="center"/>
    </xf>
    <xf numFmtId="0" fontId="2" fillId="0" borderId="41" xfId="216" applyFont="1" applyBorder="1" applyAlignment="1">
      <alignment horizontal="center" vertical="center"/>
    </xf>
    <xf numFmtId="0" fontId="2" fillId="0" borderId="42" xfId="216" applyFont="1" applyBorder="1" applyAlignment="1">
      <alignment horizontal="center" vertical="center"/>
    </xf>
    <xf numFmtId="0" fontId="83" fillId="17" borderId="11" xfId="0" applyFont="1" applyFill="1" applyBorder="1" applyAlignment="1">
      <alignment horizontal="center" vertical="center"/>
    </xf>
    <xf numFmtId="0" fontId="83" fillId="17" borderId="11" xfId="0" applyFont="1" applyFill="1" applyBorder="1" applyAlignment="1">
      <alignment horizontal="center" vertical="center" wrapText="1"/>
    </xf>
    <xf numFmtId="0" fontId="83" fillId="17" borderId="25" xfId="0" applyFont="1" applyFill="1" applyBorder="1" applyAlignment="1">
      <alignment horizontal="center" vertical="center" wrapText="1"/>
    </xf>
    <xf numFmtId="0" fontId="83" fillId="17" borderId="34" xfId="0" applyFont="1" applyFill="1" applyBorder="1" applyAlignment="1">
      <alignment horizontal="center" vertical="center" wrapText="1"/>
    </xf>
    <xf numFmtId="0" fontId="83" fillId="17" borderId="29" xfId="0" applyFont="1" applyFill="1" applyBorder="1" applyAlignment="1">
      <alignment horizontal="center" vertical="center"/>
    </xf>
    <xf numFmtId="0" fontId="83" fillId="17" borderId="33" xfId="0" applyFont="1" applyFill="1" applyBorder="1" applyAlignment="1">
      <alignment horizontal="center" vertical="center"/>
    </xf>
    <xf numFmtId="0" fontId="1" fillId="0" borderId="38" xfId="202" applyFont="1" applyBorder="1" applyAlignment="1">
      <alignment horizontal="right"/>
    </xf>
    <xf numFmtId="0" fontId="25" fillId="0" borderId="11" xfId="202" applyFont="1" applyBorder="1" applyAlignment="1">
      <alignment horizontal="center" vertical="center" wrapText="1"/>
    </xf>
    <xf numFmtId="0" fontId="25" fillId="0" borderId="29" xfId="202" applyFont="1" applyBorder="1" applyAlignment="1">
      <alignment horizontal="center" vertical="center" wrapText="1"/>
    </xf>
    <xf numFmtId="0" fontId="25" fillId="0" borderId="33" xfId="202" applyFont="1" applyBorder="1" applyAlignment="1">
      <alignment horizontal="center" vertical="center" wrapText="1"/>
    </xf>
    <xf numFmtId="0" fontId="17" fillId="0" borderId="0" xfId="202" applyFont="1" applyAlignment="1">
      <alignment horizontal="center"/>
    </xf>
    <xf numFmtId="0" fontId="1" fillId="0" borderId="0" xfId="0" applyFont="1" applyAlignment="1">
      <alignment horizontal="left" vertical="center"/>
    </xf>
    <xf numFmtId="0" fontId="23" fillId="0" borderId="38" xfId="0" applyFont="1" applyBorder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11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44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0" fontId="23" fillId="0" borderId="38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11" xfId="0" applyFont="1" applyBorder="1" applyAlignment="1">
      <alignment horizontal="center" vertical="center"/>
    </xf>
    <xf numFmtId="0" fontId="23" fillId="0" borderId="0" xfId="0" applyFont="1" applyAlignment="1">
      <alignment horizontal="right"/>
    </xf>
    <xf numFmtId="0" fontId="23" fillId="0" borderId="0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9" xfId="0" applyFont="1" applyBorder="1"/>
    <xf numFmtId="0" fontId="23" fillId="0" borderId="33" xfId="0" applyFont="1" applyBorder="1"/>
    <xf numFmtId="0" fontId="23" fillId="0" borderId="29" xfId="0" applyFont="1" applyBorder="1" applyAlignment="1">
      <alignment horizontal="center" vertical="center" textRotation="90" wrapText="1"/>
    </xf>
    <xf numFmtId="0" fontId="23" fillId="0" borderId="33" xfId="0" applyFont="1" applyBorder="1" applyAlignment="1">
      <alignment horizontal="center" vertical="center" textRotation="90" wrapText="1"/>
    </xf>
    <xf numFmtId="0" fontId="23" fillId="0" borderId="29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3" fillId="0" borderId="0" xfId="0" applyFont="1" applyBorder="1"/>
    <xf numFmtId="0" fontId="23" fillId="0" borderId="0" xfId="0" applyFont="1" applyBorder="1" applyAlignment="1">
      <alignment horizontal="center" vertical="center" textRotation="90" wrapText="1"/>
    </xf>
    <xf numFmtId="0" fontId="25" fillId="0" borderId="0" xfId="0" applyFont="1" applyBorder="1" applyAlignment="1">
      <alignment horizontal="center" vertical="center" wrapText="1"/>
    </xf>
    <xf numFmtId="0" fontId="1" fillId="0" borderId="43" xfId="204" applyFont="1" applyBorder="1" applyAlignment="1">
      <alignment horizontal="center" vertical="center"/>
    </xf>
    <xf numFmtId="0" fontId="1" fillId="0" borderId="42" xfId="204" applyFont="1" applyBorder="1" applyAlignment="1">
      <alignment horizontal="center" vertical="center"/>
    </xf>
    <xf numFmtId="0" fontId="1" fillId="0" borderId="44" xfId="204" applyFont="1" applyBorder="1" applyAlignment="1">
      <alignment horizontal="center" vertical="center"/>
    </xf>
    <xf numFmtId="0" fontId="1" fillId="0" borderId="39" xfId="204" applyFont="1" applyBorder="1" applyAlignment="1">
      <alignment horizontal="center" vertical="center"/>
    </xf>
    <xf numFmtId="0" fontId="1" fillId="0" borderId="38" xfId="204" applyFont="1" applyBorder="1" applyAlignment="1">
      <alignment horizontal="center" vertical="center"/>
    </xf>
    <xf numFmtId="0" fontId="1" fillId="0" borderId="35" xfId="204" applyFont="1" applyBorder="1" applyAlignment="1">
      <alignment horizontal="center" vertical="center"/>
    </xf>
    <xf numFmtId="0" fontId="1" fillId="0" borderId="11" xfId="204" applyFont="1" applyBorder="1" applyAlignment="1">
      <alignment horizontal="center" vertical="center"/>
    </xf>
    <xf numFmtId="0" fontId="1" fillId="0" borderId="0" xfId="204" applyFont="1" applyAlignment="1">
      <alignment horizontal="center"/>
    </xf>
    <xf numFmtId="0" fontId="25" fillId="0" borderId="0" xfId="204" applyFont="1" applyAlignment="1">
      <alignment horizontal="center"/>
    </xf>
    <xf numFmtId="0" fontId="1" fillId="0" borderId="38" xfId="204" applyFont="1" applyBorder="1" applyAlignment="1">
      <alignment horizontal="center"/>
    </xf>
    <xf numFmtId="0" fontId="1" fillId="0" borderId="11" xfId="204" applyFont="1" applyBorder="1" applyAlignment="1">
      <alignment horizontal="center"/>
    </xf>
    <xf numFmtId="0" fontId="1" fillId="0" borderId="11" xfId="204" applyFont="1" applyBorder="1" applyAlignment="1">
      <alignment horizontal="center" wrapText="1"/>
    </xf>
    <xf numFmtId="0" fontId="1" fillId="0" borderId="29" xfId="204" applyFont="1" applyBorder="1" applyAlignment="1">
      <alignment horizontal="center" vertical="center" textRotation="90" wrapText="1"/>
    </xf>
    <xf numFmtId="0" fontId="1" fillId="0" borderId="33" xfId="204" applyFont="1" applyBorder="1" applyAlignment="1">
      <alignment horizontal="center" vertical="center" textRotation="90"/>
    </xf>
    <xf numFmtId="0" fontId="1" fillId="0" borderId="43" xfId="204" applyFont="1" applyBorder="1" applyAlignment="1">
      <alignment horizontal="center" vertical="center" wrapText="1"/>
    </xf>
    <xf numFmtId="0" fontId="1" fillId="0" borderId="42" xfId="204" applyFont="1" applyBorder="1" applyAlignment="1">
      <alignment horizontal="center" vertical="center" wrapText="1"/>
    </xf>
    <xf numFmtId="0" fontId="1" fillId="0" borderId="44" xfId="204" applyFont="1" applyBorder="1" applyAlignment="1">
      <alignment horizontal="center" vertical="center" wrapText="1"/>
    </xf>
    <xf numFmtId="0" fontId="1" fillId="0" borderId="41" xfId="204" applyFont="1" applyBorder="1" applyAlignment="1">
      <alignment horizontal="center" vertical="center" wrapText="1"/>
    </xf>
    <xf numFmtId="0" fontId="1" fillId="0" borderId="0" xfId="204" applyFont="1" applyBorder="1" applyAlignment="1">
      <alignment horizontal="center" vertical="center" wrapText="1"/>
    </xf>
    <xf numFmtId="0" fontId="1" fillId="0" borderId="40" xfId="204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44" applyFont="1" applyAlignment="1">
      <alignment horizontal="center"/>
    </xf>
    <xf numFmtId="0" fontId="1" fillId="0" borderId="29" xfId="44" applyFont="1" applyBorder="1" applyAlignment="1">
      <alignment horizontal="center" vertical="center"/>
    </xf>
    <xf numFmtId="0" fontId="1" fillId="0" borderId="36" xfId="44" applyFont="1" applyBorder="1" applyAlignment="1">
      <alignment horizontal="center" vertical="center"/>
    </xf>
    <xf numFmtId="0" fontId="1" fillId="0" borderId="33" xfId="44" applyFont="1" applyBorder="1" applyAlignment="1">
      <alignment horizontal="center" vertical="center"/>
    </xf>
    <xf numFmtId="0" fontId="1" fillId="0" borderId="29" xfId="44" applyFont="1" applyBorder="1" applyAlignment="1">
      <alignment horizontal="center" vertical="center" wrapText="1"/>
    </xf>
    <xf numFmtId="0" fontId="1" fillId="0" borderId="36" xfId="44" applyFont="1" applyBorder="1" applyAlignment="1">
      <alignment horizontal="center" vertical="center" wrapText="1"/>
    </xf>
    <xf numFmtId="0" fontId="1" fillId="0" borderId="33" xfId="44" applyFont="1" applyBorder="1" applyAlignment="1">
      <alignment horizontal="center" vertical="center" wrapText="1"/>
    </xf>
    <xf numFmtId="0" fontId="1" fillId="0" borderId="25" xfId="44" applyFont="1" applyBorder="1" applyAlignment="1">
      <alignment horizontal="center" vertical="center"/>
    </xf>
    <xf numFmtId="0" fontId="1" fillId="0" borderId="37" xfId="44" applyFont="1" applyBorder="1" applyAlignment="1">
      <alignment horizontal="center" vertical="center"/>
    </xf>
    <xf numFmtId="0" fontId="1" fillId="0" borderId="34" xfId="44" applyFont="1" applyBorder="1" applyAlignment="1">
      <alignment horizontal="center" vertical="center"/>
    </xf>
    <xf numFmtId="0" fontId="6" fillId="0" borderId="11" xfId="204" applyFont="1" applyBorder="1" applyAlignment="1">
      <alignment horizontal="center"/>
    </xf>
    <xf numFmtId="0" fontId="17" fillId="0" borderId="11" xfId="204" applyFont="1" applyBorder="1" applyAlignment="1">
      <alignment horizontal="center" vertical="center"/>
    </xf>
    <xf numFmtId="0" fontId="17" fillId="0" borderId="11" xfId="204" applyFont="1" applyBorder="1" applyAlignment="1">
      <alignment horizontal="center"/>
    </xf>
    <xf numFmtId="0" fontId="17" fillId="0" borderId="25" xfId="204" applyFont="1" applyBorder="1" applyAlignment="1">
      <alignment horizontal="center"/>
    </xf>
    <xf numFmtId="0" fontId="17" fillId="0" borderId="29" xfId="204" applyFont="1" applyBorder="1" applyAlignment="1">
      <alignment horizontal="center" vertical="center"/>
    </xf>
    <xf numFmtId="0" fontId="17" fillId="0" borderId="29" xfId="204" applyFont="1" applyBorder="1" applyAlignment="1">
      <alignment horizontal="center" vertical="top" wrapText="1"/>
    </xf>
    <xf numFmtId="0" fontId="17" fillId="0" borderId="33" xfId="204" applyFont="1" applyBorder="1" applyAlignment="1">
      <alignment horizontal="center" vertical="top" wrapText="1"/>
    </xf>
    <xf numFmtId="0" fontId="17" fillId="0" borderId="43" xfId="204" applyFont="1" applyBorder="1" applyAlignment="1">
      <alignment horizontal="center" vertical="center"/>
    </xf>
    <xf numFmtId="0" fontId="6" fillId="0" borderId="29" xfId="204" applyFont="1" applyBorder="1" applyAlignment="1">
      <alignment horizontal="center"/>
    </xf>
    <xf numFmtId="0" fontId="6" fillId="0" borderId="36" xfId="204" applyFont="1" applyBorder="1" applyAlignment="1">
      <alignment horizontal="center"/>
    </xf>
    <xf numFmtId="0" fontId="6" fillId="0" borderId="33" xfId="204" applyFont="1" applyBorder="1" applyAlignment="1">
      <alignment horizontal="center"/>
    </xf>
    <xf numFmtId="0" fontId="17" fillId="0" borderId="25" xfId="204" applyFont="1" applyBorder="1" applyAlignment="1">
      <alignment horizontal="center" vertical="center"/>
    </xf>
    <xf numFmtId="0" fontId="1" fillId="0" borderId="0" xfId="204" applyFont="1" applyBorder="1" applyAlignment="1">
      <alignment horizontal="center"/>
    </xf>
    <xf numFmtId="0" fontId="1" fillId="0" borderId="0" xfId="204" quotePrefix="1" applyFont="1" applyBorder="1" applyAlignment="1">
      <alignment horizontal="center"/>
    </xf>
    <xf numFmtId="0" fontId="1" fillId="0" borderId="0" xfId="204" applyFont="1" applyAlignment="1">
      <alignment horizontal="center" vertical="center"/>
    </xf>
    <xf numFmtId="0" fontId="12" fillId="0" borderId="11" xfId="204" applyFont="1" applyBorder="1" applyAlignment="1">
      <alignment horizontal="center"/>
    </xf>
    <xf numFmtId="0" fontId="17" fillId="0" borderId="29" xfId="204" applyFont="1" applyBorder="1" applyAlignment="1">
      <alignment horizontal="center" textRotation="90" wrapText="1"/>
    </xf>
    <xf numFmtId="0" fontId="17" fillId="0" borderId="33" xfId="204" applyFont="1" applyBorder="1" applyAlignment="1">
      <alignment horizontal="center" textRotation="90" wrapText="1"/>
    </xf>
    <xf numFmtId="0" fontId="17" fillId="0" borderId="29" xfId="204" applyFont="1" applyBorder="1" applyAlignment="1">
      <alignment horizontal="center" vertical="center" wrapText="1"/>
    </xf>
    <xf numFmtId="0" fontId="17" fillId="0" borderId="33" xfId="204" applyFont="1" applyBorder="1" applyAlignment="1">
      <alignment horizontal="center" vertical="center" wrapText="1"/>
    </xf>
    <xf numFmtId="0" fontId="1" fillId="0" borderId="37" xfId="204" applyFont="1" applyBorder="1" applyAlignment="1">
      <alignment horizontal="center" vertical="center"/>
    </xf>
    <xf numFmtId="0" fontId="1" fillId="0" borderId="0" xfId="204" applyFont="1" applyBorder="1" applyAlignment="1">
      <alignment horizontal="center" vertical="center"/>
    </xf>
    <xf numFmtId="0" fontId="6" fillId="0" borderId="0" xfId="204" applyFont="1" applyBorder="1" applyAlignment="1">
      <alignment horizontal="center" vertical="center"/>
    </xf>
    <xf numFmtId="14" fontId="1" fillId="0" borderId="38" xfId="204" applyNumberFormat="1" applyFont="1" applyBorder="1" applyAlignment="1">
      <alignment horizontal="left" vertical="center"/>
    </xf>
    <xf numFmtId="0" fontId="1" fillId="0" borderId="38" xfId="204" applyFont="1" applyBorder="1" applyAlignment="1">
      <alignment horizontal="right"/>
    </xf>
    <xf numFmtId="0" fontId="1" fillId="0" borderId="29" xfId="204" applyFont="1" applyBorder="1" applyAlignment="1">
      <alignment horizontal="center" vertical="center"/>
    </xf>
    <xf numFmtId="0" fontId="1" fillId="0" borderId="36" xfId="204" applyFont="1" applyBorder="1" applyAlignment="1">
      <alignment horizontal="center" vertical="center"/>
    </xf>
    <xf numFmtId="0" fontId="1" fillId="0" borderId="33" xfId="204" applyFont="1" applyBorder="1" applyAlignment="1">
      <alignment horizontal="center" vertical="center"/>
    </xf>
    <xf numFmtId="0" fontId="25" fillId="0" borderId="29" xfId="204" applyFont="1" applyBorder="1" applyAlignment="1">
      <alignment horizontal="center" vertical="center" wrapText="1"/>
    </xf>
    <xf numFmtId="0" fontId="25" fillId="0" borderId="36" xfId="204" applyFont="1" applyBorder="1" applyAlignment="1">
      <alignment horizontal="center" vertical="center"/>
    </xf>
    <xf numFmtId="0" fontId="25" fillId="0" borderId="33" xfId="204" applyFont="1" applyBorder="1" applyAlignment="1">
      <alignment horizontal="center" vertical="center"/>
    </xf>
    <xf numFmtId="0" fontId="1" fillId="0" borderId="25" xfId="204" applyFont="1" applyBorder="1" applyAlignment="1">
      <alignment horizontal="center" vertical="center"/>
    </xf>
    <xf numFmtId="0" fontId="1" fillId="0" borderId="34" xfId="204" applyFont="1" applyBorder="1" applyAlignment="1">
      <alignment horizontal="center" vertical="center"/>
    </xf>
    <xf numFmtId="0" fontId="31" fillId="0" borderId="29" xfId="204" applyFont="1" applyBorder="1" applyAlignment="1">
      <alignment horizontal="center" vertical="center" wrapText="1"/>
    </xf>
    <xf numFmtId="0" fontId="31" fillId="0" borderId="36" xfId="204" applyFont="1" applyBorder="1" applyAlignment="1">
      <alignment horizontal="center" vertical="center"/>
    </xf>
    <xf numFmtId="0" fontId="31" fillId="0" borderId="33" xfId="204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7" fillId="0" borderId="29" xfId="0" applyFont="1" applyFill="1" applyBorder="1" applyAlignment="1">
      <alignment horizontal="left" vertical="center"/>
    </xf>
    <xf numFmtId="0" fontId="17" fillId="0" borderId="33" xfId="0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/>
    </xf>
    <xf numFmtId="0" fontId="1" fillId="0" borderId="38" xfId="0" applyFont="1" applyBorder="1" applyAlignment="1">
      <alignment horizontal="right"/>
    </xf>
    <xf numFmtId="0" fontId="17" fillId="0" borderId="0" xfId="0" applyFont="1" applyBorder="1" applyAlignment="1">
      <alignment horizontal="center"/>
    </xf>
    <xf numFmtId="0" fontId="17" fillId="0" borderId="43" xfId="0" applyFont="1" applyFill="1" applyBorder="1" applyAlignment="1">
      <alignment horizontal="left" vertical="center"/>
    </xf>
    <xf numFmtId="0" fontId="17" fillId="0" borderId="44" xfId="0" applyFont="1" applyFill="1" applyBorder="1" applyAlignment="1">
      <alignment horizontal="left" vertical="center"/>
    </xf>
    <xf numFmtId="0" fontId="17" fillId="0" borderId="39" xfId="0" applyFont="1" applyFill="1" applyBorder="1" applyAlignment="1">
      <alignment horizontal="left" vertical="center"/>
    </xf>
    <xf numFmtId="0" fontId="17" fillId="0" borderId="35" xfId="0" applyFont="1" applyFill="1" applyBorder="1" applyAlignment="1">
      <alignment horizontal="left" vertical="center"/>
    </xf>
    <xf numFmtId="0" fontId="17" fillId="0" borderId="29" xfId="0" applyFont="1" applyBorder="1" applyAlignment="1">
      <alignment horizontal="center" textRotation="90" wrapText="1"/>
    </xf>
    <xf numFmtId="0" fontId="17" fillId="0" borderId="33" xfId="0" applyFont="1" applyBorder="1" applyAlignment="1">
      <alignment horizontal="center" textRotation="90" wrapText="1"/>
    </xf>
    <xf numFmtId="0" fontId="17" fillId="0" borderId="29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17" fillId="0" borderId="36" xfId="0" applyFont="1" applyBorder="1" applyAlignment="1">
      <alignment horizontal="center" textRotation="90"/>
    </xf>
    <xf numFmtId="0" fontId="17" fillId="0" borderId="33" xfId="0" applyFont="1" applyBorder="1" applyAlignment="1">
      <alignment horizontal="center" textRotation="90"/>
    </xf>
    <xf numFmtId="0" fontId="17" fillId="0" borderId="29" xfId="0" applyFont="1" applyBorder="1" applyAlignment="1">
      <alignment horizontal="center" vertical="center" textRotation="90" wrapText="1"/>
    </xf>
    <xf numFmtId="0" fontId="17" fillId="0" borderId="36" xfId="0" applyFont="1" applyBorder="1" applyAlignment="1">
      <alignment horizontal="center" vertical="center" textRotation="90"/>
    </xf>
    <xf numFmtId="0" fontId="17" fillId="0" borderId="33" xfId="0" applyFont="1" applyBorder="1" applyAlignment="1">
      <alignment horizontal="center" vertical="center" textRotation="90"/>
    </xf>
    <xf numFmtId="0" fontId="17" fillId="0" borderId="29" xfId="0" applyFont="1" applyBorder="1" applyAlignment="1">
      <alignment horizontal="center" vertical="center" textRotation="90"/>
    </xf>
    <xf numFmtId="0" fontId="17" fillId="0" borderId="29" xfId="0" applyFont="1" applyBorder="1" applyAlignment="1">
      <alignment horizontal="center" textRotation="90"/>
    </xf>
    <xf numFmtId="0" fontId="17" fillId="0" borderId="25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2" xfId="0" applyFont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" fillId="0" borderId="29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64" fontId="17" fillId="0" borderId="29" xfId="0" applyNumberFormat="1" applyFont="1" applyBorder="1" applyAlignment="1">
      <alignment horizontal="center" vertical="center"/>
    </xf>
    <xf numFmtId="164" fontId="17" fillId="0" borderId="33" xfId="0" applyNumberFormat="1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29" xfId="0" applyFont="1" applyBorder="1" applyAlignment="1">
      <alignment horizontal="left" textRotation="90" wrapText="1"/>
    </xf>
    <xf numFmtId="0" fontId="17" fillId="0" borderId="36" xfId="0" applyFont="1" applyBorder="1" applyAlignment="1">
      <alignment horizontal="left" textRotation="90" wrapText="1"/>
    </xf>
    <xf numFmtId="0" fontId="17" fillId="0" borderId="33" xfId="0" applyFont="1" applyBorder="1" applyAlignment="1">
      <alignment horizontal="left" textRotation="90" wrapText="1"/>
    </xf>
    <xf numFmtId="0" fontId="17" fillId="0" borderId="25" xfId="0" applyFont="1" applyBorder="1" applyAlignment="1">
      <alignment horizontal="right"/>
    </xf>
    <xf numFmtId="0" fontId="17" fillId="0" borderId="37" xfId="0" applyFont="1" applyBorder="1" applyAlignment="1">
      <alignment horizontal="right"/>
    </xf>
    <xf numFmtId="0" fontId="17" fillId="0" borderId="34" xfId="0" applyFont="1" applyBorder="1" applyAlignment="1">
      <alignment horizontal="right"/>
    </xf>
    <xf numFmtId="0" fontId="17" fillId="0" borderId="37" xfId="0" applyFont="1" applyBorder="1" applyAlignment="1">
      <alignment horizontal="center"/>
    </xf>
    <xf numFmtId="0" fontId="0" fillId="0" borderId="37" xfId="0" applyBorder="1" applyAlignment="1">
      <alignment horizontal="right"/>
    </xf>
    <xf numFmtId="0" fontId="0" fillId="0" borderId="34" xfId="0" applyBorder="1" applyAlignment="1">
      <alignment horizontal="right"/>
    </xf>
    <xf numFmtId="0" fontId="17" fillId="0" borderId="36" xfId="0" applyFont="1" applyBorder="1" applyAlignment="1">
      <alignment horizontal="center" textRotation="90" wrapText="1"/>
    </xf>
    <xf numFmtId="0" fontId="17" fillId="0" borderId="25" xfId="0" applyFont="1" applyBorder="1" applyAlignment="1">
      <alignment vertical="center"/>
    </xf>
    <xf numFmtId="0" fontId="17" fillId="0" borderId="37" xfId="0" applyFont="1" applyBorder="1" applyAlignment="1">
      <alignment vertical="center"/>
    </xf>
    <xf numFmtId="0" fontId="17" fillId="0" borderId="34" xfId="0" applyFont="1" applyBorder="1" applyAlignment="1">
      <alignment vertical="center"/>
    </xf>
    <xf numFmtId="0" fontId="0" fillId="0" borderId="42" xfId="0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0" xfId="0" applyFont="1" applyAlignment="1"/>
    <xf numFmtId="0" fontId="17" fillId="0" borderId="0" xfId="0" applyFont="1" applyAlignment="1">
      <alignment horizontal="center" wrapText="1"/>
    </xf>
    <xf numFmtId="0" fontId="17" fillId="0" borderId="25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4" xfId="0" applyFont="1" applyBorder="1" applyAlignment="1">
      <alignment horizontal="left" vertical="center"/>
    </xf>
    <xf numFmtId="0" fontId="1" fillId="11" borderId="29" xfId="0" applyFont="1" applyFill="1" applyBorder="1" applyAlignment="1">
      <alignment horizontal="center" vertical="center" wrapText="1"/>
    </xf>
    <xf numFmtId="0" fontId="1" fillId="11" borderId="33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center"/>
    </xf>
    <xf numFmtId="0" fontId="1" fillId="11" borderId="37" xfId="0" applyFont="1" applyFill="1" applyBorder="1" applyAlignment="1">
      <alignment horizontal="center"/>
    </xf>
    <xf numFmtId="0" fontId="1" fillId="11" borderId="34" xfId="0" applyFont="1" applyFill="1" applyBorder="1" applyAlignment="1">
      <alignment horizontal="center"/>
    </xf>
    <xf numFmtId="0" fontId="1" fillId="11" borderId="36" xfId="0" applyFont="1" applyFill="1" applyBorder="1" applyAlignment="1">
      <alignment horizontal="center" vertical="center" wrapText="1"/>
    </xf>
    <xf numFmtId="0" fontId="1" fillId="11" borderId="29" xfId="0" applyFont="1" applyFill="1" applyBorder="1" applyAlignment="1">
      <alignment horizontal="center" vertical="center"/>
    </xf>
    <xf numFmtId="0" fontId="1" fillId="11" borderId="36" xfId="0" applyFont="1" applyFill="1" applyBorder="1" applyAlignment="1">
      <alignment horizontal="center" vertical="center"/>
    </xf>
    <xf numFmtId="0" fontId="1" fillId="11" borderId="33" xfId="0" applyFont="1" applyFill="1" applyBorder="1" applyAlignment="1">
      <alignment horizontal="center" vertical="center"/>
    </xf>
    <xf numFmtId="0" fontId="1" fillId="11" borderId="38" xfId="0" applyFont="1" applyFill="1" applyBorder="1" applyAlignment="1">
      <alignment horizontal="center" vertical="center"/>
    </xf>
    <xf numFmtId="0" fontId="1" fillId="11" borderId="11" xfId="0" applyFont="1" applyFill="1" applyBorder="1" applyAlignment="1">
      <alignment horizontal="center"/>
    </xf>
    <xf numFmtId="0" fontId="1" fillId="0" borderId="43" xfId="204" applyFont="1" applyBorder="1" applyAlignment="1">
      <alignment horizontal="center"/>
    </xf>
    <xf numFmtId="0" fontId="1" fillId="0" borderId="42" xfId="204" applyFont="1" applyBorder="1" applyAlignment="1">
      <alignment horizontal="center"/>
    </xf>
    <xf numFmtId="0" fontId="1" fillId="0" borderId="44" xfId="204" applyFont="1" applyBorder="1" applyAlignment="1">
      <alignment horizontal="center"/>
    </xf>
    <xf numFmtId="0" fontId="1" fillId="0" borderId="39" xfId="204" applyFont="1" applyBorder="1" applyAlignment="1">
      <alignment horizontal="center"/>
    </xf>
    <xf numFmtId="0" fontId="1" fillId="0" borderId="35" xfId="204" applyFont="1" applyBorder="1" applyAlignment="1">
      <alignment horizontal="center"/>
    </xf>
    <xf numFmtId="0" fontId="45" fillId="0" borderId="43" xfId="214" applyFont="1" applyFill="1" applyBorder="1" applyAlignment="1">
      <alignment horizontal="center" wrapText="1"/>
    </xf>
    <xf numFmtId="0" fontId="45" fillId="0" borderId="42" xfId="214" applyFont="1" applyFill="1" applyBorder="1" applyAlignment="1">
      <alignment horizontal="center" wrapText="1"/>
    </xf>
    <xf numFmtId="0" fontId="45" fillId="0" borderId="44" xfId="214" applyFont="1" applyFill="1" applyBorder="1" applyAlignment="1">
      <alignment horizontal="center" wrapText="1"/>
    </xf>
    <xf numFmtId="0" fontId="45" fillId="0" borderId="25" xfId="214" applyFont="1" applyFill="1" applyBorder="1" applyAlignment="1">
      <alignment horizontal="center" wrapText="1"/>
    </xf>
    <xf numFmtId="0" fontId="45" fillId="0" borderId="37" xfId="214" applyFont="1" applyFill="1" applyBorder="1" applyAlignment="1">
      <alignment horizontal="center" wrapText="1"/>
    </xf>
    <xf numFmtId="0" fontId="45" fillId="0" borderId="34" xfId="214" applyFont="1" applyFill="1" applyBorder="1" applyAlignment="1">
      <alignment horizontal="center" wrapText="1"/>
    </xf>
    <xf numFmtId="0" fontId="17" fillId="0" borderId="37" xfId="204" applyFont="1" applyBorder="1" applyAlignment="1">
      <alignment horizontal="center"/>
    </xf>
    <xf numFmtId="0" fontId="17" fillId="0" borderId="34" xfId="204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 textRotation="90" wrapText="1"/>
    </xf>
    <xf numFmtId="0" fontId="17" fillId="0" borderId="33" xfId="0" applyFont="1" applyBorder="1" applyAlignment="1">
      <alignment horizontal="center" vertical="center" textRotation="90" wrapText="1"/>
    </xf>
    <xf numFmtId="0" fontId="17" fillId="0" borderId="0" xfId="0" applyFont="1" applyBorder="1" applyAlignment="1">
      <alignment horizontal="center" textRotation="90" wrapText="1"/>
    </xf>
    <xf numFmtId="0" fontId="17" fillId="0" borderId="0" xfId="0" applyFont="1" applyBorder="1" applyAlignment="1">
      <alignment horizontal="center" textRotation="90"/>
    </xf>
    <xf numFmtId="0" fontId="17" fillId="0" borderId="4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textRotation="90"/>
    </xf>
    <xf numFmtId="0" fontId="17" fillId="0" borderId="11" xfId="0" applyFont="1" applyBorder="1" applyAlignment="1">
      <alignment horizontal="center" textRotation="90" wrapText="1"/>
    </xf>
    <xf numFmtId="164" fontId="17" fillId="0" borderId="41" xfId="0" applyNumberFormat="1" applyFont="1" applyBorder="1" applyAlignment="1">
      <alignment horizontal="left" vertical="center"/>
    </xf>
    <xf numFmtId="164" fontId="17" fillId="0" borderId="0" xfId="0" applyNumberFormat="1" applyFont="1" applyBorder="1" applyAlignment="1">
      <alignment horizontal="left" vertical="center"/>
    </xf>
    <xf numFmtId="164" fontId="17" fillId="0" borderId="38" xfId="0" applyNumberFormat="1" applyFont="1" applyBorder="1" applyAlignment="1">
      <alignment horizontal="left" vertical="center"/>
    </xf>
    <xf numFmtId="0" fontId="17" fillId="0" borderId="34" xfId="0" applyFont="1" applyBorder="1" applyAlignment="1">
      <alignment horizontal="center" textRotation="90" wrapText="1"/>
    </xf>
    <xf numFmtId="0" fontId="1" fillId="0" borderId="11" xfId="0" applyFont="1" applyBorder="1" applyAlignment="1">
      <alignment horizontal="center" textRotation="90"/>
    </xf>
    <xf numFmtId="0" fontId="17" fillId="0" borderId="11" xfId="0" applyFont="1" applyBorder="1" applyAlignment="1">
      <alignment horizontal="center" vertical="center" textRotation="90"/>
    </xf>
    <xf numFmtId="0" fontId="29" fillId="0" borderId="38" xfId="204" applyFont="1" applyBorder="1" applyAlignment="1">
      <alignment horizontal="right"/>
    </xf>
    <xf numFmtId="0" fontId="1" fillId="0" borderId="0" xfId="0" applyFont="1" applyAlignment="1">
      <alignment horizontal="left"/>
    </xf>
    <xf numFmtId="0" fontId="17" fillId="0" borderId="38" xfId="0" applyFont="1" applyBorder="1" applyAlignment="1">
      <alignment horizontal="left"/>
    </xf>
    <xf numFmtId="0" fontId="19" fillId="0" borderId="38" xfId="0" applyFont="1" applyBorder="1" applyAlignment="1">
      <alignment horizontal="left"/>
    </xf>
    <xf numFmtId="0" fontId="6" fillId="0" borderId="29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17" fillId="0" borderId="29" xfId="0" applyFont="1" applyBorder="1" applyAlignment="1">
      <alignment horizont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 textRotation="90" wrapText="1"/>
    </xf>
    <xf numFmtId="0" fontId="29" fillId="0" borderId="0" xfId="0" applyFont="1" applyBorder="1" applyAlignment="1">
      <alignment horizontal="center" vertical="center" textRotation="90"/>
    </xf>
    <xf numFmtId="0" fontId="25" fillId="0" borderId="11" xfId="0" applyFont="1" applyBorder="1" applyAlignment="1">
      <alignment horizontal="center" vertical="center"/>
    </xf>
    <xf numFmtId="0" fontId="23" fillId="0" borderId="44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11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3" fillId="0" borderId="43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1" fillId="0" borderId="25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49" fontId="33" fillId="0" borderId="25" xfId="0" applyNumberFormat="1" applyFont="1" applyBorder="1" applyAlignment="1">
      <alignment horizontal="left" vertical="center"/>
    </xf>
    <xf numFmtId="49" fontId="33" fillId="0" borderId="34" xfId="0" applyNumberFormat="1" applyFont="1" applyBorder="1" applyAlignment="1">
      <alignment horizontal="left" vertical="center"/>
    </xf>
    <xf numFmtId="0" fontId="28" fillId="0" borderId="11" xfId="0" applyFont="1" applyBorder="1" applyAlignment="1">
      <alignment horizontal="center" vertical="center" wrapText="1"/>
    </xf>
    <xf numFmtId="14" fontId="1" fillId="0" borderId="0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 textRotation="180"/>
    </xf>
    <xf numFmtId="0" fontId="25" fillId="0" borderId="25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 vertical="top" wrapText="1"/>
    </xf>
    <xf numFmtId="0" fontId="64" fillId="0" borderId="25" xfId="0" applyFont="1" applyBorder="1" applyAlignment="1">
      <alignment horizontal="center" vertical="top" wrapText="1"/>
    </xf>
    <xf numFmtId="0" fontId="64" fillId="0" borderId="34" xfId="0" applyFont="1" applyBorder="1" applyAlignment="1">
      <alignment horizontal="center" vertical="top" wrapText="1"/>
    </xf>
    <xf numFmtId="0" fontId="90" fillId="0" borderId="29" xfId="0" applyFont="1" applyBorder="1" applyAlignment="1">
      <alignment horizontal="center" vertical="center" wrapText="1"/>
    </xf>
    <xf numFmtId="0" fontId="90" fillId="0" borderId="33" xfId="0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/>
    </xf>
    <xf numFmtId="0" fontId="89" fillId="0" borderId="36" xfId="0" applyFont="1" applyBorder="1" applyAlignment="1">
      <alignment horizontal="center" vertical="center"/>
    </xf>
    <xf numFmtId="0" fontId="89" fillId="0" borderId="33" xfId="0" applyFont="1" applyBorder="1" applyAlignment="1">
      <alignment horizontal="center" vertical="center"/>
    </xf>
    <xf numFmtId="0" fontId="89" fillId="0" borderId="43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25" xfId="0" applyFont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0" fontId="89" fillId="0" borderId="34" xfId="0" applyFont="1" applyBorder="1" applyAlignment="1">
      <alignment horizontal="center" vertical="center"/>
    </xf>
    <xf numFmtId="0" fontId="90" fillId="0" borderId="38" xfId="0" applyFont="1" applyBorder="1" applyAlignment="1">
      <alignment horizontal="left"/>
    </xf>
    <xf numFmtId="0" fontId="90" fillId="0" borderId="38" xfId="0" applyFont="1" applyBorder="1" applyAlignment="1">
      <alignment horizontal="center"/>
    </xf>
    <xf numFmtId="0" fontId="83" fillId="11" borderId="0" xfId="212" applyFont="1" applyFill="1" applyAlignment="1">
      <alignment horizontal="center"/>
    </xf>
    <xf numFmtId="0" fontId="92" fillId="11" borderId="0" xfId="212" applyFont="1" applyFill="1" applyAlignment="1">
      <alignment horizontal="center"/>
    </xf>
    <xf numFmtId="0" fontId="116" fillId="11" borderId="11" xfId="212" applyFont="1" applyFill="1" applyBorder="1" applyAlignment="1">
      <alignment horizontal="center" vertical="center" wrapText="1"/>
    </xf>
    <xf numFmtId="0" fontId="117" fillId="11" borderId="11" xfId="212" applyFont="1" applyFill="1" applyBorder="1" applyAlignment="1">
      <alignment horizontal="center" vertical="center" wrapText="1"/>
    </xf>
    <xf numFmtId="0" fontId="117" fillId="11" borderId="25" xfId="212" applyFont="1" applyFill="1" applyBorder="1" applyAlignment="1">
      <alignment horizontal="center" vertical="center"/>
    </xf>
    <xf numFmtId="0" fontId="117" fillId="11" borderId="37" xfId="212" applyFont="1" applyFill="1" applyBorder="1" applyAlignment="1">
      <alignment horizontal="center" vertical="center"/>
    </xf>
    <xf numFmtId="0" fontId="117" fillId="11" borderId="11" xfId="212" applyFont="1" applyFill="1" applyBorder="1" applyAlignment="1">
      <alignment horizontal="center" vertical="center"/>
    </xf>
    <xf numFmtId="0" fontId="1" fillId="0" borderId="11" xfId="209" applyFont="1" applyBorder="1" applyAlignment="1">
      <alignment horizontal="left" vertical="center"/>
    </xf>
    <xf numFmtId="0" fontId="3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5" fillId="0" borderId="11" xfId="209" applyFont="1" applyBorder="1" applyAlignment="1">
      <alignment horizontal="left" vertical="center" wrapText="1"/>
    </xf>
    <xf numFmtId="0" fontId="1" fillId="0" borderId="29" xfId="209" applyFont="1" applyBorder="1" applyAlignment="1">
      <alignment horizontal="center" vertical="center"/>
    </xf>
    <xf numFmtId="0" fontId="1" fillId="0" borderId="36" xfId="209" applyFont="1" applyBorder="1" applyAlignment="1">
      <alignment horizontal="center" vertical="center"/>
    </xf>
    <xf numFmtId="0" fontId="1" fillId="0" borderId="25" xfId="0" applyFont="1" applyBorder="1" applyAlignment="1">
      <alignment horizontal="left"/>
    </xf>
    <xf numFmtId="0" fontId="1" fillId="0" borderId="34" xfId="0" applyFont="1" applyBorder="1" applyAlignment="1">
      <alignment horizontal="left"/>
    </xf>
    <xf numFmtId="0" fontId="31" fillId="0" borderId="0" xfId="0" applyFont="1" applyBorder="1" applyAlignment="1">
      <alignment horizontal="left" wrapText="1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left" vertical="center"/>
    </xf>
    <xf numFmtId="0" fontId="1" fillId="0" borderId="37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 textRotation="90" wrapText="1"/>
    </xf>
    <xf numFmtId="0" fontId="1" fillId="0" borderId="36" xfId="0" applyFont="1" applyBorder="1" applyAlignment="1">
      <alignment horizontal="center" vertical="center" textRotation="90" wrapText="1"/>
    </xf>
    <xf numFmtId="0" fontId="1" fillId="0" borderId="33" xfId="0" applyFont="1" applyBorder="1" applyAlignment="1">
      <alignment horizontal="center" vertical="center" textRotation="90" wrapText="1"/>
    </xf>
    <xf numFmtId="0" fontId="1" fillId="0" borderId="25" xfId="0" applyFont="1" applyBorder="1" applyAlignment="1">
      <alignment vertical="center" wrapText="1"/>
    </xf>
    <xf numFmtId="0" fontId="1" fillId="0" borderId="37" xfId="0" applyFont="1" applyBorder="1" applyAlignment="1">
      <alignment vertical="center" wrapText="1"/>
    </xf>
    <xf numFmtId="0" fontId="1" fillId="0" borderId="34" xfId="0" applyFont="1" applyBorder="1" applyAlignment="1">
      <alignment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31" fillId="0" borderId="0" xfId="44" applyFont="1" applyBorder="1" applyAlignment="1">
      <alignment horizontal="center" vertical="center" wrapText="1"/>
    </xf>
    <xf numFmtId="0" fontId="44" fillId="0" borderId="0" xfId="44" applyFont="1" applyBorder="1" applyAlignment="1">
      <alignment horizontal="center" vertical="center" wrapText="1"/>
    </xf>
    <xf numFmtId="0" fontId="31" fillId="0" borderId="0" xfId="44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5" fillId="6" borderId="11" xfId="0" applyFont="1" applyFill="1" applyBorder="1" applyAlignment="1">
      <alignment horizontal="center" vertical="center"/>
    </xf>
    <xf numFmtId="49" fontId="1" fillId="0" borderId="25" xfId="0" applyNumberFormat="1" applyFont="1" applyBorder="1" applyAlignment="1">
      <alignment horizontal="center" vertical="center"/>
    </xf>
    <xf numFmtId="49" fontId="1" fillId="0" borderId="37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/>
    </xf>
    <xf numFmtId="0" fontId="25" fillId="0" borderId="25" xfId="0" applyFont="1" applyBorder="1" applyAlignment="1">
      <alignment horizontal="left" vertical="center" wrapText="1"/>
    </xf>
    <xf numFmtId="0" fontId="25" fillId="0" borderId="34" xfId="0" applyFont="1" applyBorder="1" applyAlignment="1">
      <alignment horizontal="left" vertical="center" wrapText="1"/>
    </xf>
    <xf numFmtId="2" fontId="1" fillId="0" borderId="29" xfId="0" applyNumberFormat="1" applyFont="1" applyBorder="1" applyAlignment="1">
      <alignment horizontal="center" vertical="center" textRotation="90" wrapText="1"/>
    </xf>
    <xf numFmtId="2" fontId="1" fillId="0" borderId="36" xfId="0" applyNumberFormat="1" applyFont="1" applyBorder="1" applyAlignment="1">
      <alignment horizontal="center" vertical="center" textRotation="90" wrapText="1"/>
    </xf>
    <xf numFmtId="2" fontId="1" fillId="0" borderId="33" xfId="0" applyNumberFormat="1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95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0" fontId="115" fillId="0" borderId="38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29" xfId="0" applyFont="1" applyBorder="1" applyAlignment="1">
      <alignment horizontal="center" vertical="center" textRotation="90" wrapText="1"/>
    </xf>
    <xf numFmtId="0" fontId="2" fillId="0" borderId="36" xfId="0" applyFont="1" applyBorder="1" applyAlignment="1">
      <alignment horizontal="center" vertical="center" textRotation="90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36" xfId="0" applyFont="1" applyBorder="1" applyAlignment="1">
      <alignment horizontal="center" vertical="center"/>
    </xf>
    <xf numFmtId="0" fontId="1" fillId="0" borderId="38" xfId="35" applyFont="1" applyBorder="1" applyAlignment="1">
      <alignment horizontal="center" vertical="center"/>
    </xf>
    <xf numFmtId="0" fontId="2" fillId="0" borderId="44" xfId="35" applyFont="1" applyBorder="1" applyAlignment="1">
      <alignment horizontal="center" vertical="center" textRotation="90"/>
    </xf>
    <xf numFmtId="0" fontId="2" fillId="0" borderId="40" xfId="35" applyFont="1" applyBorder="1" applyAlignment="1">
      <alignment horizontal="center" vertical="center" textRotation="90"/>
    </xf>
    <xf numFmtId="0" fontId="2" fillId="0" borderId="35" xfId="35" applyFont="1" applyBorder="1" applyAlignment="1">
      <alignment horizontal="center" vertical="center" textRotation="90"/>
    </xf>
    <xf numFmtId="0" fontId="2" fillId="11" borderId="25" xfId="0" applyFont="1" applyFill="1" applyBorder="1" applyAlignment="1">
      <alignment horizontal="center" vertical="center" wrapText="1"/>
    </xf>
    <xf numFmtId="0" fontId="2" fillId="11" borderId="34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0" borderId="11" xfId="35" applyFont="1" applyBorder="1" applyAlignment="1">
      <alignment horizontal="center" vertical="center" wrapText="1"/>
    </xf>
    <xf numFmtId="0" fontId="2" fillId="0" borderId="11" xfId="35" applyFont="1" applyBorder="1" applyAlignment="1">
      <alignment horizontal="center" vertical="center" textRotation="90"/>
    </xf>
    <xf numFmtId="0" fontId="2" fillId="0" borderId="25" xfId="35" applyFont="1" applyBorder="1" applyAlignment="1">
      <alignment horizontal="center" vertical="center" wrapText="1"/>
    </xf>
    <xf numFmtId="0" fontId="2" fillId="0" borderId="34" xfId="35" applyFont="1" applyBorder="1" applyAlignment="1">
      <alignment horizontal="center" vertical="center" wrapText="1"/>
    </xf>
    <xf numFmtId="0" fontId="2" fillId="0" borderId="43" xfId="35" applyFont="1" applyBorder="1" applyAlignment="1">
      <alignment horizontal="center" vertical="center" wrapText="1"/>
    </xf>
    <xf numFmtId="0" fontId="2" fillId="0" borderId="42" xfId="35" applyFont="1" applyBorder="1" applyAlignment="1">
      <alignment horizontal="center" vertical="center" wrapText="1"/>
    </xf>
    <xf numFmtId="0" fontId="2" fillId="0" borderId="44" xfId="35" applyFont="1" applyBorder="1" applyAlignment="1">
      <alignment horizontal="center" vertical="center" wrapText="1"/>
    </xf>
    <xf numFmtId="0" fontId="2" fillId="0" borderId="39" xfId="35" applyFont="1" applyBorder="1" applyAlignment="1">
      <alignment horizontal="center" vertical="center" wrapText="1"/>
    </xf>
    <xf numFmtId="0" fontId="2" fillId="0" borderId="38" xfId="35" applyFont="1" applyBorder="1" applyAlignment="1">
      <alignment horizontal="center" vertical="center" wrapText="1"/>
    </xf>
    <xf numFmtId="0" fontId="2" fillId="0" borderId="35" xfId="35" applyFont="1" applyBorder="1" applyAlignment="1">
      <alignment horizontal="center" vertical="center" wrapText="1"/>
    </xf>
    <xf numFmtId="0" fontId="2" fillId="0" borderId="11" xfId="35" applyFont="1" applyBorder="1" applyAlignment="1">
      <alignment horizontal="center" vertical="center" textRotation="90" wrapText="1"/>
    </xf>
    <xf numFmtId="0" fontId="2" fillId="11" borderId="11" xfId="35" applyFont="1" applyFill="1" applyBorder="1" applyAlignment="1">
      <alignment horizontal="center" vertical="center" textRotation="90" wrapText="1"/>
    </xf>
    <xf numFmtId="0" fontId="2" fillId="11" borderId="11" xfId="35" applyFont="1" applyFill="1" applyBorder="1" applyAlignment="1">
      <alignment horizontal="center" vertical="center" wrapText="1"/>
    </xf>
    <xf numFmtId="0" fontId="2" fillId="0" borderId="29" xfId="35" applyFont="1" applyBorder="1" applyAlignment="1">
      <alignment horizontal="center" vertical="center" wrapText="1"/>
    </xf>
    <xf numFmtId="0" fontId="2" fillId="0" borderId="36" xfId="35" applyFont="1" applyBorder="1" applyAlignment="1">
      <alignment horizontal="center" vertical="center" wrapText="1"/>
    </xf>
    <xf numFmtId="0" fontId="2" fillId="0" borderId="33" xfId="35" applyFont="1" applyBorder="1" applyAlignment="1">
      <alignment horizontal="center" vertical="center" wrapText="1"/>
    </xf>
    <xf numFmtId="0" fontId="2" fillId="0" borderId="41" xfId="35" applyFont="1" applyBorder="1" applyAlignment="1">
      <alignment horizontal="center" vertical="center" wrapText="1"/>
    </xf>
    <xf numFmtId="0" fontId="2" fillId="0" borderId="0" xfId="35" applyFont="1" applyBorder="1" applyAlignment="1">
      <alignment horizontal="center" vertical="center" wrapText="1"/>
    </xf>
    <xf numFmtId="0" fontId="2" fillId="0" borderId="40" xfId="35" applyFont="1" applyBorder="1" applyAlignment="1">
      <alignment horizontal="center" vertical="center" wrapText="1"/>
    </xf>
    <xf numFmtId="0" fontId="2" fillId="0" borderId="25" xfId="35" applyFont="1" applyBorder="1" applyAlignment="1">
      <alignment horizontal="center" vertical="center"/>
    </xf>
    <xf numFmtId="0" fontId="2" fillId="0" borderId="37" xfId="35" applyFont="1" applyBorder="1" applyAlignment="1">
      <alignment horizontal="center" vertical="center"/>
    </xf>
    <xf numFmtId="0" fontId="2" fillId="0" borderId="34" xfId="35" applyFont="1" applyBorder="1" applyAlignment="1">
      <alignment horizontal="center" vertical="center"/>
    </xf>
    <xf numFmtId="0" fontId="27" fillId="0" borderId="25" xfId="35" applyFont="1" applyBorder="1" applyAlignment="1">
      <alignment horizontal="center" vertical="center"/>
    </xf>
    <xf numFmtId="0" fontId="27" fillId="0" borderId="37" xfId="35" applyFont="1" applyBorder="1" applyAlignment="1">
      <alignment horizontal="center" vertical="center"/>
    </xf>
    <xf numFmtId="0" fontId="27" fillId="0" borderId="34" xfId="35" applyFont="1" applyBorder="1" applyAlignment="1">
      <alignment horizontal="center" vertical="center"/>
    </xf>
    <xf numFmtId="0" fontId="2" fillId="0" borderId="25" xfId="0" applyFont="1" applyBorder="1" applyAlignment="1">
      <alignment horizontal="left" vertical="center" wrapText="1"/>
    </xf>
    <xf numFmtId="0" fontId="2" fillId="0" borderId="37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11" borderId="25" xfId="35" applyFont="1" applyFill="1" applyBorder="1" applyAlignment="1">
      <alignment horizontal="center" vertical="center"/>
    </xf>
    <xf numFmtId="0" fontId="2" fillId="11" borderId="37" xfId="35" applyFont="1" applyFill="1" applyBorder="1" applyAlignment="1">
      <alignment horizontal="center" vertical="center"/>
    </xf>
    <xf numFmtId="0" fontId="2" fillId="11" borderId="34" xfId="35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right"/>
    </xf>
    <xf numFmtId="0" fontId="112" fillId="0" borderId="11" xfId="0" applyFont="1" applyBorder="1" applyAlignment="1">
      <alignment horizontal="center" vertical="center"/>
    </xf>
    <xf numFmtId="0" fontId="112" fillId="0" borderId="43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center" vertical="center" wrapText="1"/>
    </xf>
    <xf numFmtId="0" fontId="112" fillId="0" borderId="44" xfId="0" applyFont="1" applyBorder="1" applyAlignment="1">
      <alignment horizontal="center" vertical="center" wrapText="1"/>
    </xf>
    <xf numFmtId="0" fontId="112" fillId="0" borderId="43" xfId="0" applyFont="1" applyBorder="1" applyAlignment="1">
      <alignment horizontal="center" vertical="center"/>
    </xf>
    <xf numFmtId="0" fontId="112" fillId="0" borderId="42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 vertical="center" wrapText="1"/>
    </xf>
    <xf numFmtId="0" fontId="112" fillId="0" borderId="35" xfId="0" applyFont="1" applyBorder="1" applyAlignment="1">
      <alignment horizontal="center" vertical="center" wrapText="1"/>
    </xf>
    <xf numFmtId="0" fontId="112" fillId="0" borderId="11" xfId="0" applyFont="1" applyBorder="1" applyAlignment="1">
      <alignment horizontal="center" vertical="center" wrapText="1"/>
    </xf>
    <xf numFmtId="0" fontId="112" fillId="0" borderId="11" xfId="0" applyFont="1" applyBorder="1" applyAlignment="1">
      <alignment horizontal="center" vertical="center" textRotation="90" wrapText="1"/>
    </xf>
    <xf numFmtId="0" fontId="112" fillId="0" borderId="11" xfId="0" applyFont="1" applyBorder="1" applyAlignment="1">
      <alignment horizontal="left" vertical="center"/>
    </xf>
    <xf numFmtId="0" fontId="112" fillId="0" borderId="11" xfId="0" applyFont="1" applyBorder="1" applyAlignment="1">
      <alignment horizontal="center" vertical="center" textRotation="90"/>
    </xf>
    <xf numFmtId="0" fontId="113" fillId="0" borderId="11" xfId="0" applyFont="1" applyBorder="1" applyAlignment="1">
      <alignment horizontal="left" vertical="center"/>
    </xf>
    <xf numFmtId="0" fontId="81" fillId="0" borderId="29" xfId="0" applyFont="1" applyBorder="1" applyAlignment="1">
      <alignment horizontal="center" vertical="center"/>
    </xf>
    <xf numFmtId="0" fontId="81" fillId="0" borderId="36" xfId="0" applyFont="1" applyBorder="1" applyAlignment="1">
      <alignment horizontal="center" vertical="center"/>
    </xf>
    <xf numFmtId="0" fontId="81" fillId="0" borderId="33" xfId="0" applyFont="1" applyBorder="1" applyAlignment="1">
      <alignment horizontal="center" vertical="center"/>
    </xf>
    <xf numFmtId="0" fontId="87" fillId="17" borderId="25" xfId="0" applyFont="1" applyFill="1" applyBorder="1" applyAlignment="1">
      <alignment horizontal="left"/>
    </xf>
    <xf numFmtId="0" fontId="87" fillId="17" borderId="34" xfId="0" applyFont="1" applyFill="1" applyBorder="1" applyAlignment="1">
      <alignment horizontal="left"/>
    </xf>
    <xf numFmtId="0" fontId="87" fillId="17" borderId="25" xfId="0" applyFont="1" applyFill="1" applyBorder="1" applyAlignment="1">
      <alignment horizontal="left" vertical="center" wrapText="1"/>
    </xf>
    <xf numFmtId="0" fontId="87" fillId="17" borderId="34" xfId="0" applyFont="1" applyFill="1" applyBorder="1" applyAlignment="1">
      <alignment horizontal="left" vertical="center" wrapText="1"/>
    </xf>
    <xf numFmtId="0" fontId="87" fillId="13" borderId="25" xfId="0" applyFont="1" applyFill="1" applyBorder="1" applyAlignment="1">
      <alignment horizontal="center" vertical="center"/>
    </xf>
    <xf numFmtId="0" fontId="87" fillId="13" borderId="34" xfId="0" applyFont="1" applyFill="1" applyBorder="1" applyAlignment="1">
      <alignment horizontal="center" vertical="center"/>
    </xf>
    <xf numFmtId="0" fontId="87" fillId="17" borderId="25" xfId="0" applyFont="1" applyFill="1" applyBorder="1" applyAlignment="1">
      <alignment horizontal="left" vertical="center"/>
    </xf>
    <xf numFmtId="0" fontId="87" fillId="17" borderId="34" xfId="0" applyFont="1" applyFill="1" applyBorder="1" applyAlignment="1">
      <alignment horizontal="left" vertical="center"/>
    </xf>
    <xf numFmtId="0" fontId="83" fillId="0" borderId="38" xfId="0" applyFont="1" applyBorder="1" applyAlignment="1">
      <alignment horizontal="center" vertical="center" wrapText="1"/>
    </xf>
    <xf numFmtId="0" fontId="81" fillId="0" borderId="29" xfId="0" applyFont="1" applyBorder="1" applyAlignment="1">
      <alignment horizontal="center" vertical="center" textRotation="56"/>
    </xf>
    <xf numFmtId="0" fontId="81" fillId="0" borderId="33" xfId="0" applyFont="1" applyBorder="1" applyAlignment="1">
      <alignment horizontal="center" vertical="center" textRotation="56"/>
    </xf>
    <xf numFmtId="0" fontId="81" fillId="0" borderId="11" xfId="0" applyFont="1" applyBorder="1" applyAlignment="1">
      <alignment horizontal="center" vertical="center"/>
    </xf>
    <xf numFmtId="0" fontId="81" fillId="0" borderId="29" xfId="0" applyFont="1" applyBorder="1" applyAlignment="1">
      <alignment horizontal="center" vertical="center" textRotation="90" wrapText="1"/>
    </xf>
    <xf numFmtId="0" fontId="81" fillId="0" borderId="36" xfId="0" applyFont="1" applyBorder="1" applyAlignment="1">
      <alignment horizontal="center" vertical="center" textRotation="90" wrapText="1"/>
    </xf>
    <xf numFmtId="0" fontId="81" fillId="0" borderId="33" xfId="0" applyFont="1" applyBorder="1" applyAlignment="1">
      <alignment horizontal="center" vertical="center" textRotation="90" wrapText="1"/>
    </xf>
    <xf numFmtId="0" fontId="81" fillId="0" borderId="0" xfId="0" applyFont="1" applyBorder="1" applyAlignment="1">
      <alignment horizontal="center" vertical="center"/>
    </xf>
    <xf numFmtId="43" fontId="81" fillId="0" borderId="29" xfId="2" applyFont="1" applyBorder="1" applyAlignment="1">
      <alignment horizontal="center" vertical="center" textRotation="90" wrapText="1"/>
    </xf>
    <xf numFmtId="43" fontId="81" fillId="0" borderId="36" xfId="2" applyFont="1" applyBorder="1" applyAlignment="1">
      <alignment horizontal="center" vertical="center" textRotation="90" wrapText="1"/>
    </xf>
    <xf numFmtId="43" fontId="81" fillId="0" borderId="33" xfId="2" applyFont="1" applyBorder="1" applyAlignment="1">
      <alignment horizontal="center" vertical="center" textRotation="90" wrapText="1"/>
    </xf>
    <xf numFmtId="0" fontId="81" fillId="0" borderId="25" xfId="0" applyFont="1" applyBorder="1" applyAlignment="1">
      <alignment horizontal="center" vertical="center" wrapText="1"/>
    </xf>
    <xf numFmtId="0" fontId="81" fillId="0" borderId="37" xfId="0" applyFont="1" applyBorder="1" applyAlignment="1">
      <alignment horizontal="center" vertical="center" wrapText="1"/>
    </xf>
    <xf numFmtId="0" fontId="81" fillId="0" borderId="34" xfId="0" applyFont="1" applyBorder="1" applyAlignment="1">
      <alignment horizontal="center" vertical="center" wrapText="1"/>
    </xf>
    <xf numFmtId="0" fontId="81" fillId="0" borderId="25" xfId="0" applyFont="1" applyBorder="1" applyAlignment="1">
      <alignment horizontal="center" vertical="center"/>
    </xf>
    <xf numFmtId="0" fontId="81" fillId="0" borderId="34" xfId="0" applyFont="1" applyBorder="1" applyAlignment="1">
      <alignment horizontal="center" vertical="center"/>
    </xf>
    <xf numFmtId="0" fontId="81" fillId="0" borderId="43" xfId="0" applyFont="1" applyBorder="1" applyAlignment="1">
      <alignment horizontal="center" vertical="center"/>
    </xf>
    <xf numFmtId="0" fontId="81" fillId="0" borderId="44" xfId="0" applyFont="1" applyBorder="1" applyAlignment="1">
      <alignment horizontal="center" vertical="center"/>
    </xf>
    <xf numFmtId="0" fontId="81" fillId="0" borderId="41" xfId="0" applyFont="1" applyBorder="1" applyAlignment="1">
      <alignment horizontal="center" vertical="center"/>
    </xf>
    <xf numFmtId="0" fontId="81" fillId="0" borderId="40" xfId="0" applyFont="1" applyBorder="1" applyAlignment="1">
      <alignment horizontal="center" vertical="center"/>
    </xf>
    <xf numFmtId="0" fontId="81" fillId="0" borderId="39" xfId="0" applyFont="1" applyBorder="1" applyAlignment="1">
      <alignment horizontal="center" vertical="center"/>
    </xf>
    <xf numFmtId="0" fontId="81" fillId="0" borderId="35" xfId="0" applyFont="1" applyBorder="1" applyAlignment="1">
      <alignment horizontal="center" vertical="center"/>
    </xf>
    <xf numFmtId="0" fontId="83" fillId="0" borderId="0" xfId="0" applyFont="1" applyAlignment="1">
      <alignment horizontal="center" wrapText="1"/>
    </xf>
    <xf numFmtId="0" fontId="88" fillId="0" borderId="25" xfId="0" applyFont="1" applyBorder="1" applyAlignment="1">
      <alignment vertical="center"/>
    </xf>
    <xf numFmtId="0" fontId="88" fillId="0" borderId="34" xfId="0" applyFont="1" applyBorder="1" applyAlignment="1">
      <alignment vertical="center"/>
    </xf>
    <xf numFmtId="0" fontId="87" fillId="17" borderId="25" xfId="0" applyFont="1" applyFill="1" applyBorder="1" applyAlignment="1">
      <alignment vertical="center"/>
    </xf>
    <xf numFmtId="0" fontId="87" fillId="17" borderId="34" xfId="0" applyFont="1" applyFill="1" applyBorder="1" applyAlignment="1">
      <alignment vertical="center"/>
    </xf>
    <xf numFmtId="0" fontId="81" fillId="0" borderId="11" xfId="0" applyFont="1" applyBorder="1" applyAlignment="1">
      <alignment vertical="center"/>
    </xf>
    <xf numFmtId="0" fontId="81" fillId="0" borderId="29" xfId="0" applyFont="1" applyBorder="1" applyAlignment="1">
      <alignment vertical="center"/>
    </xf>
    <xf numFmtId="0" fontId="83" fillId="0" borderId="29" xfId="0" applyFont="1" applyBorder="1" applyAlignment="1">
      <alignment horizontal="center" vertical="center" textRotation="90" wrapText="1"/>
    </xf>
    <xf numFmtId="0" fontId="83" fillId="0" borderId="36" xfId="0" applyFont="1" applyBorder="1" applyAlignment="1">
      <alignment horizontal="center" vertical="center" textRotation="90" wrapText="1"/>
    </xf>
    <xf numFmtId="0" fontId="83" fillId="0" borderId="33" xfId="0" applyFont="1" applyBorder="1" applyAlignment="1">
      <alignment horizontal="center" vertical="center" textRotation="90" wrapText="1"/>
    </xf>
    <xf numFmtId="43" fontId="81" fillId="0" borderId="29" xfId="2" applyFont="1" applyBorder="1" applyAlignment="1">
      <alignment horizontal="center" vertical="center" wrapText="1"/>
    </xf>
    <xf numFmtId="43" fontId="81" fillId="0" borderId="36" xfId="2" applyFont="1" applyBorder="1" applyAlignment="1">
      <alignment horizontal="center" vertical="center" wrapText="1"/>
    </xf>
    <xf numFmtId="43" fontId="81" fillId="0" borderId="33" xfId="2" applyFont="1" applyBorder="1" applyAlignment="1">
      <alignment horizontal="center" vertical="center" wrapText="1"/>
    </xf>
    <xf numFmtId="0" fontId="81" fillId="0" borderId="42" xfId="0" applyFont="1" applyBorder="1" applyAlignment="1">
      <alignment horizontal="center" vertical="center" wrapText="1"/>
    </xf>
    <xf numFmtId="0" fontId="81" fillId="0" borderId="4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/>
    </xf>
    <xf numFmtId="0" fontId="88" fillId="0" borderId="34" xfId="0" applyFont="1" applyBorder="1" applyAlignment="1">
      <alignment horizontal="center" vertical="center"/>
    </xf>
    <xf numFmtId="0" fontId="84" fillId="0" borderId="25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8" fillId="0" borderId="25" xfId="0" applyFont="1" applyBorder="1" applyAlignment="1">
      <alignment horizontal="left" vertical="center"/>
    </xf>
    <xf numFmtId="0" fontId="88" fillId="0" borderId="34" xfId="0" applyFont="1" applyBorder="1" applyAlignment="1">
      <alignment horizontal="left" vertical="center"/>
    </xf>
    <xf numFmtId="0" fontId="91" fillId="0" borderId="0" xfId="0" applyFont="1" applyBorder="1" applyAlignment="1">
      <alignment horizontal="center"/>
    </xf>
    <xf numFmtId="0" fontId="84" fillId="0" borderId="11" xfId="36" applyFont="1" applyBorder="1" applyAlignment="1">
      <alignment horizontal="center" vertical="center" wrapText="1"/>
    </xf>
    <xf numFmtId="0" fontId="83" fillId="0" borderId="38" xfId="0" applyFont="1" applyBorder="1" applyAlignment="1">
      <alignment horizontal="center" vertical="center"/>
    </xf>
    <xf numFmtId="0" fontId="84" fillId="0" borderId="11" xfId="36" applyFont="1" applyBorder="1" applyAlignment="1">
      <alignment horizontal="center" vertical="center"/>
    </xf>
    <xf numFmtId="0" fontId="31" fillId="9" borderId="25" xfId="0" applyFont="1" applyFill="1" applyBorder="1" applyAlignment="1">
      <alignment horizontal="center"/>
    </xf>
    <xf numFmtId="0" fontId="31" fillId="9" borderId="37" xfId="0" applyFont="1" applyFill="1" applyBorder="1" applyAlignment="1">
      <alignment horizontal="center"/>
    </xf>
    <xf numFmtId="0" fontId="31" fillId="9" borderId="34" xfId="0" applyFont="1" applyFill="1" applyBorder="1" applyAlignment="1">
      <alignment horizontal="center"/>
    </xf>
    <xf numFmtId="0" fontId="81" fillId="0" borderId="11" xfId="0" applyFont="1" applyBorder="1" applyAlignment="1">
      <alignment horizontal="center" vertical="center" wrapText="1"/>
    </xf>
    <xf numFmtId="0" fontId="81" fillId="0" borderId="25" xfId="0" applyFont="1" applyBorder="1" applyAlignment="1">
      <alignment horizontal="center" wrapText="1"/>
    </xf>
    <xf numFmtId="0" fontId="81" fillId="0" borderId="37" xfId="0" applyFont="1" applyBorder="1" applyAlignment="1">
      <alignment horizontal="center"/>
    </xf>
    <xf numFmtId="0" fontId="81" fillId="0" borderId="34" xfId="0" applyFont="1" applyBorder="1" applyAlignment="1">
      <alignment horizontal="center"/>
    </xf>
    <xf numFmtId="0" fontId="81" fillId="0" borderId="37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81" fillId="0" borderId="43" xfId="0" applyFont="1" applyBorder="1" applyAlignment="1">
      <alignment horizontal="center" vertical="center" wrapText="1"/>
    </xf>
    <xf numFmtId="0" fontId="81" fillId="0" borderId="37" xfId="0" applyFont="1" applyBorder="1" applyAlignment="1">
      <alignment horizontal="center" wrapText="1"/>
    </xf>
    <xf numFmtId="0" fontId="81" fillId="0" borderId="34" xfId="0" applyFont="1" applyBorder="1" applyAlignment="1">
      <alignment horizontal="center" wrapText="1"/>
    </xf>
    <xf numFmtId="0" fontId="81" fillId="0" borderId="42" xfId="0" applyFont="1" applyBorder="1" applyAlignment="1">
      <alignment horizontal="center" vertical="center"/>
    </xf>
    <xf numFmtId="0" fontId="81" fillId="0" borderId="38" xfId="0" applyFont="1" applyBorder="1" applyAlignment="1">
      <alignment horizontal="center" vertical="center"/>
    </xf>
    <xf numFmtId="0" fontId="81" fillId="0" borderId="43" xfId="0" applyFont="1" applyBorder="1" applyAlignment="1">
      <alignment horizontal="center" wrapText="1"/>
    </xf>
    <xf numFmtId="0" fontId="81" fillId="0" borderId="42" xfId="0" applyFont="1" applyBorder="1" applyAlignment="1">
      <alignment horizontal="center"/>
    </xf>
    <xf numFmtId="0" fontId="81" fillId="0" borderId="44" xfId="0" applyFont="1" applyBorder="1" applyAlignment="1">
      <alignment horizontal="center"/>
    </xf>
    <xf numFmtId="0" fontId="81" fillId="0" borderId="39" xfId="0" applyFont="1" applyBorder="1" applyAlignment="1">
      <alignment horizontal="center"/>
    </xf>
    <xf numFmtId="0" fontId="81" fillId="0" borderId="38" xfId="0" applyFont="1" applyBorder="1" applyAlignment="1">
      <alignment horizontal="center"/>
    </xf>
    <xf numFmtId="0" fontId="81" fillId="0" borderId="35" xfId="0" applyFont="1" applyBorder="1" applyAlignment="1">
      <alignment horizontal="center"/>
    </xf>
    <xf numFmtId="0" fontId="81" fillId="0" borderId="0" xfId="0" applyFont="1" applyAlignment="1">
      <alignment horizontal="center" vertical="center"/>
    </xf>
    <xf numFmtId="0" fontId="81" fillId="0" borderId="38" xfId="0" applyFont="1" applyBorder="1" applyAlignment="1">
      <alignment horizontal="right"/>
    </xf>
    <xf numFmtId="0" fontId="83" fillId="0" borderId="11" xfId="0" applyFont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/>
    </xf>
    <xf numFmtId="0" fontId="81" fillId="0" borderId="11" xfId="0" applyFont="1" applyBorder="1" applyAlignment="1">
      <alignment horizontal="center"/>
    </xf>
    <xf numFmtId="0" fontId="81" fillId="0" borderId="39" xfId="0" applyFont="1" applyBorder="1" applyAlignment="1">
      <alignment horizontal="center" vertical="center" wrapText="1"/>
    </xf>
    <xf numFmtId="0" fontId="81" fillId="0" borderId="38" xfId="0" applyFont="1" applyBorder="1" applyAlignment="1">
      <alignment horizontal="center" vertical="center" wrapText="1"/>
    </xf>
    <xf numFmtId="0" fontId="81" fillId="0" borderId="35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2" fontId="17" fillId="0" borderId="42" xfId="215" applyNumberFormat="1" applyFont="1" applyFill="1" applyBorder="1" applyAlignment="1">
      <alignment horizontal="center"/>
    </xf>
    <xf numFmtId="0" fontId="25" fillId="0" borderId="0" xfId="0" applyFont="1"/>
    <xf numFmtId="0" fontId="102" fillId="0" borderId="0" xfId="0" applyFont="1"/>
    <xf numFmtId="0" fontId="93" fillId="0" borderId="0" xfId="0" applyFont="1"/>
    <xf numFmtId="0" fontId="93" fillId="0" borderId="0" xfId="0" applyFont="1" applyAlignment="1">
      <alignment vertical="top" wrapText="1"/>
    </xf>
    <xf numFmtId="0" fontId="102" fillId="0" borderId="0" xfId="0" applyFont="1" applyAlignment="1">
      <alignment vertical="top" wrapText="1"/>
    </xf>
    <xf numFmtId="0" fontId="51" fillId="0" borderId="0" xfId="0" applyFont="1"/>
    <xf numFmtId="0" fontId="103" fillId="0" borderId="0" xfId="0" applyFont="1"/>
    <xf numFmtId="0" fontId="102" fillId="0" borderId="0" xfId="0" applyFont="1" applyBorder="1"/>
    <xf numFmtId="0" fontId="17" fillId="0" borderId="2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0" fontId="93" fillId="0" borderId="0" xfId="0" applyFont="1" applyBorder="1"/>
    <xf numFmtId="0" fontId="1" fillId="16" borderId="25" xfId="0" applyFont="1" applyFill="1" applyBorder="1" applyAlignment="1">
      <alignment horizontal="center" vertical="center"/>
    </xf>
    <xf numFmtId="0" fontId="1" fillId="16" borderId="34" xfId="0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9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8" fillId="0" borderId="11" xfId="0" applyFont="1" applyBorder="1" applyAlignment="1">
      <alignment vertical="top" wrapText="1"/>
    </xf>
    <xf numFmtId="0" fontId="28" fillId="0" borderId="11" xfId="0" applyFont="1" applyBorder="1" applyAlignment="1">
      <alignment vertical="center" wrapText="1"/>
    </xf>
    <xf numFmtId="0" fontId="28" fillId="0" borderId="11" xfId="0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0" fillId="11" borderId="0" xfId="0" applyFill="1" applyAlignment="1">
      <alignment horizontal="center"/>
    </xf>
    <xf numFmtId="0" fontId="25" fillId="11" borderId="11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34" xfId="0" applyFont="1" applyFill="1" applyBorder="1" applyAlignment="1">
      <alignment horizontal="center" vertical="center"/>
    </xf>
    <xf numFmtId="0" fontId="25" fillId="11" borderId="0" xfId="0" applyFont="1" applyFill="1" applyAlignment="1">
      <alignment horizontal="center" vertical="center"/>
    </xf>
    <xf numFmtId="0" fontId="25" fillId="11" borderId="25" xfId="0" applyFont="1" applyFill="1" applyBorder="1" applyAlignment="1">
      <alignment horizontal="left" vertical="center"/>
    </xf>
    <xf numFmtId="0" fontId="25" fillId="11" borderId="34" xfId="0" applyFont="1" applyFill="1" applyBorder="1" applyAlignment="1">
      <alignment horizontal="left" vertical="center"/>
    </xf>
    <xf numFmtId="0" fontId="49" fillId="0" borderId="11" xfId="204" applyFont="1" applyBorder="1" applyAlignment="1">
      <alignment horizontal="center" vertical="center" wrapText="1"/>
    </xf>
    <xf numFmtId="0" fontId="49" fillId="0" borderId="11" xfId="204" applyFont="1" applyBorder="1" applyAlignment="1">
      <alignment horizontal="center" vertical="center"/>
    </xf>
    <xf numFmtId="0" fontId="1" fillId="0" borderId="11" xfId="204" applyFont="1" applyBorder="1" applyAlignment="1">
      <alignment horizontal="center" vertical="center" wrapText="1"/>
    </xf>
    <xf numFmtId="0" fontId="1" fillId="0" borderId="0" xfId="204" applyFont="1" applyAlignment="1">
      <alignment vertical="center"/>
    </xf>
    <xf numFmtId="0" fontId="1" fillId="0" borderId="38" xfId="204" applyFont="1" applyBorder="1" applyAlignment="1">
      <alignment horizontal="right" vertical="center"/>
    </xf>
    <xf numFmtId="0" fontId="1" fillId="0" borderId="0" xfId="204" applyFont="1" applyBorder="1" applyAlignment="1">
      <alignment horizontal="left" vertical="center" wrapText="1"/>
    </xf>
    <xf numFmtId="0" fontId="29" fillId="0" borderId="29" xfId="204" applyFont="1" applyBorder="1" applyAlignment="1">
      <alignment horizontal="center" vertical="center"/>
    </xf>
    <xf numFmtId="0" fontId="29" fillId="0" borderId="33" xfId="204" applyFont="1" applyBorder="1" applyAlignment="1">
      <alignment horizontal="center" vertical="center"/>
    </xf>
    <xf numFmtId="0" fontId="48" fillId="0" borderId="29" xfId="204" applyFont="1" applyBorder="1" applyAlignment="1">
      <alignment horizontal="center" vertical="center" wrapText="1"/>
    </xf>
    <xf numFmtId="0" fontId="48" fillId="0" borderId="33" xfId="204" applyFont="1" applyBorder="1" applyAlignment="1">
      <alignment horizontal="center" vertical="center" wrapText="1"/>
    </xf>
    <xf numFmtId="0" fontId="29" fillId="0" borderId="43" xfId="204" applyFont="1" applyBorder="1" applyAlignment="1">
      <alignment horizontal="left" vertical="center"/>
    </xf>
    <xf numFmtId="0" fontId="29" fillId="0" borderId="41" xfId="204" applyFont="1" applyBorder="1" applyAlignment="1">
      <alignment horizontal="left" vertical="center"/>
    </xf>
    <xf numFmtId="0" fontId="29" fillId="0" borderId="39" xfId="204" applyFont="1" applyBorder="1" applyAlignment="1">
      <alignment horizontal="left" vertical="center"/>
    </xf>
    <xf numFmtId="0" fontId="29" fillId="0" borderId="29" xfId="204" applyFont="1" applyBorder="1" applyAlignment="1">
      <alignment horizontal="left" vertical="center"/>
    </xf>
    <xf numFmtId="0" fontId="29" fillId="0" borderId="36" xfId="204" applyFont="1" applyBorder="1" applyAlignment="1">
      <alignment horizontal="left" vertical="center"/>
    </xf>
    <xf numFmtId="0" fontId="29" fillId="0" borderId="33" xfId="204" applyFont="1" applyBorder="1" applyAlignment="1">
      <alignment horizontal="left" vertical="center"/>
    </xf>
    <xf numFmtId="0" fontId="28" fillId="0" borderId="25" xfId="204" applyFont="1" applyBorder="1" applyAlignment="1">
      <alignment horizontal="center" vertical="center"/>
    </xf>
    <xf numFmtId="0" fontId="28" fillId="0" borderId="34" xfId="204" applyFont="1" applyBorder="1" applyAlignment="1">
      <alignment horizontal="center" vertical="center"/>
    </xf>
    <xf numFmtId="0" fontId="28" fillId="0" borderId="0" xfId="204" applyFont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 wrapText="1"/>
    </xf>
    <xf numFmtId="0" fontId="2" fillId="23" borderId="29" xfId="0" applyFont="1" applyFill="1" applyBorder="1" applyAlignment="1">
      <alignment horizontal="center" vertical="center" wrapText="1"/>
    </xf>
    <xf numFmtId="0" fontId="2" fillId="23" borderId="36" xfId="0" applyFont="1" applyFill="1" applyBorder="1" applyAlignment="1">
      <alignment vertical="center" wrapText="1"/>
    </xf>
    <xf numFmtId="0" fontId="2" fillId="23" borderId="33" xfId="0" applyFont="1" applyFill="1" applyBorder="1" applyAlignment="1">
      <alignment vertical="center" wrapText="1"/>
    </xf>
    <xf numFmtId="0" fontId="2" fillId="0" borderId="11" xfId="0" applyFont="1" applyBorder="1" applyAlignment="1">
      <alignment horizontal="center"/>
    </xf>
    <xf numFmtId="0" fontId="2" fillId="23" borderId="36" xfId="0" applyFont="1" applyFill="1" applyBorder="1" applyAlignment="1">
      <alignment horizontal="center" vertical="center" wrapText="1"/>
    </xf>
    <xf numFmtId="0" fontId="2" fillId="23" borderId="33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90"/>
    </xf>
    <xf numFmtId="0" fontId="2" fillId="0" borderId="42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29" xfId="0" applyFont="1" applyBorder="1" applyAlignment="1">
      <alignment textRotation="90" wrapText="1"/>
    </xf>
    <xf numFmtId="0" fontId="2" fillId="0" borderId="33" xfId="0" applyFont="1" applyBorder="1" applyAlignment="1">
      <alignment textRotation="90" wrapText="1"/>
    </xf>
    <xf numFmtId="0" fontId="2" fillId="23" borderId="34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textRotation="90" shrinkToFit="1"/>
    </xf>
    <xf numFmtId="0" fontId="31" fillId="0" borderId="4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25" xfId="0" applyFont="1" applyBorder="1" applyAlignment="1">
      <alignment horizontal="center" wrapText="1"/>
    </xf>
    <xf numFmtId="0" fontId="1" fillId="0" borderId="34" xfId="0" applyFont="1" applyBorder="1" applyAlignment="1">
      <alignment horizontal="center" wrapText="1"/>
    </xf>
    <xf numFmtId="0" fontId="83" fillId="0" borderId="29" xfId="0" applyFont="1" applyBorder="1" applyAlignment="1">
      <alignment horizontal="center" vertical="center"/>
    </xf>
    <xf numFmtId="0" fontId="83" fillId="0" borderId="36" xfId="0" applyFont="1" applyBorder="1" applyAlignment="1">
      <alignment horizontal="center" vertical="center"/>
    </xf>
    <xf numFmtId="0" fontId="83" fillId="0" borderId="33" xfId="0" applyFont="1" applyBorder="1" applyAlignment="1">
      <alignment horizontal="center" vertical="center"/>
    </xf>
    <xf numFmtId="0" fontId="83" fillId="0" borderId="29" xfId="0" applyFont="1" applyBorder="1" applyAlignment="1">
      <alignment horizontal="center" vertical="center" textRotation="90"/>
    </xf>
    <xf numFmtId="0" fontId="83" fillId="0" borderId="36" xfId="0" applyFont="1" applyBorder="1" applyAlignment="1">
      <alignment horizontal="center" vertical="center" textRotation="90"/>
    </xf>
    <xf numFmtId="0" fontId="83" fillId="0" borderId="33" xfId="0" applyFont="1" applyBorder="1" applyAlignment="1">
      <alignment horizontal="center" vertical="center" textRotation="90"/>
    </xf>
    <xf numFmtId="0" fontId="83" fillId="0" borderId="25" xfId="0" applyFont="1" applyBorder="1" applyAlignment="1">
      <alignment horizontal="center" vertical="center"/>
    </xf>
    <xf numFmtId="0" fontId="83" fillId="0" borderId="37" xfId="0" applyFont="1" applyBorder="1" applyAlignment="1">
      <alignment horizontal="center" vertical="center"/>
    </xf>
    <xf numFmtId="0" fontId="83" fillId="0" borderId="34" xfId="0" applyFont="1" applyBorder="1" applyAlignment="1">
      <alignment horizontal="center" vertical="center"/>
    </xf>
    <xf numFmtId="0" fontId="58" fillId="0" borderId="25" xfId="0" applyFont="1" applyFill="1" applyBorder="1" applyAlignment="1">
      <alignment horizontal="center" vertical="center" textRotation="90" wrapText="1"/>
    </xf>
    <xf numFmtId="0" fontId="58" fillId="0" borderId="11" xfId="0" applyFont="1" applyFill="1" applyBorder="1" applyAlignment="1">
      <alignment horizontal="center" vertical="center" textRotation="90" wrapText="1"/>
    </xf>
    <xf numFmtId="0" fontId="58" fillId="0" borderId="11" xfId="0" applyFont="1" applyFill="1" applyBorder="1" applyAlignment="1">
      <alignment horizontal="center" vertical="center"/>
    </xf>
    <xf numFmtId="0" fontId="58" fillId="0" borderId="25" xfId="0" applyFont="1" applyFill="1" applyBorder="1" applyAlignment="1">
      <alignment horizontal="center" vertical="center"/>
    </xf>
    <xf numFmtId="0" fontId="118" fillId="0" borderId="43" xfId="0" applyFont="1" applyFill="1" applyBorder="1" applyAlignment="1">
      <alignment horizontal="center" vertical="center" textRotation="90" wrapText="1"/>
    </xf>
    <xf numFmtId="0" fontId="118" fillId="0" borderId="41" xfId="0" applyFont="1" applyFill="1" applyBorder="1" applyAlignment="1">
      <alignment horizontal="center" vertical="center" textRotation="90" wrapText="1"/>
    </xf>
    <xf numFmtId="0" fontId="118" fillId="0" borderId="39" xfId="0" applyFont="1" applyFill="1" applyBorder="1" applyAlignment="1">
      <alignment horizontal="center" vertical="center" textRotation="90" wrapText="1"/>
    </xf>
    <xf numFmtId="0" fontId="58" fillId="0" borderId="34" xfId="0" applyFont="1" applyFill="1" applyBorder="1" applyAlignment="1">
      <alignment horizontal="center" vertical="center"/>
    </xf>
    <xf numFmtId="0" fontId="58" fillId="0" borderId="29" xfId="0" applyFont="1" applyFill="1" applyBorder="1" applyAlignment="1">
      <alignment horizontal="center" vertical="center" textRotation="90" wrapText="1"/>
    </xf>
    <xf numFmtId="0" fontId="58" fillId="0" borderId="33" xfId="0" applyFont="1" applyFill="1" applyBorder="1" applyAlignment="1">
      <alignment horizontal="center" vertical="center" textRotation="90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118" fillId="0" borderId="37" xfId="0" applyFont="1" applyFill="1" applyBorder="1" applyAlignment="1">
      <alignment horizontal="center" vertical="center" textRotation="90" wrapText="1"/>
    </xf>
    <xf numFmtId="0" fontId="118" fillId="0" borderId="25" xfId="0" applyFont="1" applyFill="1" applyBorder="1" applyAlignment="1">
      <alignment horizontal="center" vertical="center" textRotation="90" wrapText="1"/>
    </xf>
    <xf numFmtId="0" fontId="58" fillId="0" borderId="33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/>
    </xf>
    <xf numFmtId="0" fontId="58" fillId="0" borderId="11" xfId="0" applyFont="1" applyFill="1" applyBorder="1" applyAlignment="1">
      <alignment horizontal="center" vertical="center" wrapText="1"/>
    </xf>
    <xf numFmtId="0" fontId="118" fillId="11" borderId="11" xfId="0" applyFont="1" applyFill="1" applyBorder="1" applyAlignment="1">
      <alignment horizontal="center" vertical="center" textRotation="90" wrapText="1"/>
    </xf>
    <xf numFmtId="0" fontId="118" fillId="0" borderId="11" xfId="0" applyFont="1" applyFill="1" applyBorder="1" applyAlignment="1">
      <alignment horizontal="center" vertical="center" textRotation="90" wrapText="1"/>
    </xf>
    <xf numFmtId="0" fontId="58" fillId="0" borderId="37" xfId="0" applyFont="1" applyFill="1" applyBorder="1" applyAlignment="1">
      <alignment horizontal="center" vertical="center" wrapText="1"/>
    </xf>
    <xf numFmtId="0" fontId="58" fillId="0" borderId="34" xfId="0" applyFont="1" applyFill="1" applyBorder="1" applyAlignment="1">
      <alignment horizontal="center" vertical="center" wrapText="1"/>
    </xf>
  </cellXfs>
  <cellStyles count="217">
    <cellStyle name="Comma" xfId="2" builtinId="3"/>
    <cellStyle name="Comma 2" xfId="3"/>
    <cellStyle name="Comma 2 10" xfId="4"/>
    <cellStyle name="Comma 2 11" xfId="5"/>
    <cellStyle name="Comma 2 12" xfId="6"/>
    <cellStyle name="Comma 2 13" xfId="7"/>
    <cellStyle name="Comma 2 14" xfId="8"/>
    <cellStyle name="Comma 2 15" xfId="9"/>
    <cellStyle name="Comma 2 16" xfId="10"/>
    <cellStyle name="Comma 2 2" xfId="11"/>
    <cellStyle name="Comma 2 3" xfId="12"/>
    <cellStyle name="Comma 2 4" xfId="13"/>
    <cellStyle name="Comma 2 5" xfId="14"/>
    <cellStyle name="Comma 2 6" xfId="15"/>
    <cellStyle name="Comma 2 7" xfId="16"/>
    <cellStyle name="Comma 2 8" xfId="17"/>
    <cellStyle name="Comma 2 9" xfId="18"/>
    <cellStyle name="Comma 3" xfId="19"/>
    <cellStyle name="Comma 3 10" xfId="20"/>
    <cellStyle name="Comma 3 11" xfId="21"/>
    <cellStyle name="Comma 3 12" xfId="22"/>
    <cellStyle name="Comma 3 13" xfId="23"/>
    <cellStyle name="Comma 3 14" xfId="24"/>
    <cellStyle name="Comma 3 15" xfId="25"/>
    <cellStyle name="Comma 3 2" xfId="26"/>
    <cellStyle name="Comma 3 3" xfId="27"/>
    <cellStyle name="Comma 3 4" xfId="28"/>
    <cellStyle name="Comma 3 5" xfId="29"/>
    <cellStyle name="Comma 3 6" xfId="30"/>
    <cellStyle name="Comma 3 7" xfId="31"/>
    <cellStyle name="Comma 3 8" xfId="32"/>
    <cellStyle name="Comma 3 9" xfId="33"/>
    <cellStyle name="Normal" xfId="0" builtinId="0"/>
    <cellStyle name="Normal 10" xfId="34"/>
    <cellStyle name="Normal 106" xfId="35"/>
    <cellStyle name="Normal 11" xfId="36"/>
    <cellStyle name="Normal 12" xfId="37"/>
    <cellStyle name="Normal 13" xfId="38"/>
    <cellStyle name="Normal 14" xfId="39"/>
    <cellStyle name="Normal 15" xfId="40"/>
    <cellStyle name="Normal 16" xfId="41"/>
    <cellStyle name="Normal 17" xfId="42"/>
    <cellStyle name="Normal 18" xfId="43"/>
    <cellStyle name="Normal 19" xfId="216"/>
    <cellStyle name="Normal 2" xfId="44"/>
    <cellStyle name="Normal 2 10" xfId="45"/>
    <cellStyle name="Normal 2 100" xfId="46"/>
    <cellStyle name="Normal 2 101" xfId="47"/>
    <cellStyle name="Normal 2 102" xfId="48"/>
    <cellStyle name="Normal 2 103" xfId="49"/>
    <cellStyle name="Normal 2 104" xfId="50"/>
    <cellStyle name="Normal 2 105" xfId="51"/>
    <cellStyle name="Normal 2 106" xfId="52"/>
    <cellStyle name="Normal 2 107" xfId="53"/>
    <cellStyle name="Normal 2 108" xfId="54"/>
    <cellStyle name="Normal 2 109" xfId="55"/>
    <cellStyle name="Normal 2 11" xfId="56"/>
    <cellStyle name="Normal 2 110" xfId="57"/>
    <cellStyle name="Normal 2 111" xfId="58"/>
    <cellStyle name="Normal 2 112" xfId="59"/>
    <cellStyle name="Normal 2 113" xfId="60"/>
    <cellStyle name="Normal 2 114" xfId="61"/>
    <cellStyle name="Normal 2 115" xfId="62"/>
    <cellStyle name="Normal 2 116" xfId="63"/>
    <cellStyle name="Normal 2 117" xfId="64"/>
    <cellStyle name="Normal 2 118" xfId="65"/>
    <cellStyle name="Normal 2 119" xfId="66"/>
    <cellStyle name="Normal 2 12" xfId="67"/>
    <cellStyle name="Normal 2 120" xfId="68"/>
    <cellStyle name="Normal 2 121" xfId="69"/>
    <cellStyle name="Normal 2 122" xfId="70"/>
    <cellStyle name="Normal 2 123" xfId="71"/>
    <cellStyle name="Normal 2 124" xfId="72"/>
    <cellStyle name="Normal 2 125" xfId="73"/>
    <cellStyle name="Normal 2 126" xfId="74"/>
    <cellStyle name="Normal 2 127" xfId="75"/>
    <cellStyle name="Normal 2 128" xfId="76"/>
    <cellStyle name="Normal 2 129" xfId="77"/>
    <cellStyle name="Normal 2 13" xfId="78"/>
    <cellStyle name="Normal 2 130" xfId="79"/>
    <cellStyle name="Normal 2 131" xfId="80"/>
    <cellStyle name="Normal 2 132" xfId="81"/>
    <cellStyle name="Normal 2 133" xfId="82"/>
    <cellStyle name="Normal 2 134" xfId="83"/>
    <cellStyle name="Normal 2 135" xfId="84"/>
    <cellStyle name="Normal 2 136" xfId="85"/>
    <cellStyle name="Normal 2 137" xfId="86"/>
    <cellStyle name="Normal 2 138" xfId="87"/>
    <cellStyle name="Normal 2 139" xfId="88"/>
    <cellStyle name="Normal 2 14" xfId="89"/>
    <cellStyle name="Normal 2 140" xfId="90"/>
    <cellStyle name="Normal 2 141" xfId="91"/>
    <cellStyle name="Normal 2 142" xfId="92"/>
    <cellStyle name="Normal 2 143" xfId="93"/>
    <cellStyle name="Normal 2 144" xfId="94"/>
    <cellStyle name="Normal 2 145" xfId="95"/>
    <cellStyle name="Normal 2 146" xfId="96"/>
    <cellStyle name="Normal 2 147" xfId="97"/>
    <cellStyle name="Normal 2 148" xfId="98"/>
    <cellStyle name="Normal 2 149" xfId="99"/>
    <cellStyle name="Normal 2 15" xfId="100"/>
    <cellStyle name="Normal 2 150" xfId="101"/>
    <cellStyle name="Normal 2 151" xfId="102"/>
    <cellStyle name="Normal 2 152" xfId="103"/>
    <cellStyle name="Normal 2 153" xfId="104"/>
    <cellStyle name="Normal 2 154" xfId="105"/>
    <cellStyle name="Normal 2 155" xfId="106"/>
    <cellStyle name="Normal 2 156" xfId="107"/>
    <cellStyle name="Normal 2 157" xfId="108"/>
    <cellStyle name="Normal 2 158" xfId="109"/>
    <cellStyle name="Normal 2 16" xfId="110"/>
    <cellStyle name="Normal 2 17" xfId="111"/>
    <cellStyle name="Normal 2 18" xfId="112"/>
    <cellStyle name="Normal 2 19" xfId="113"/>
    <cellStyle name="Normal 2 2" xfId="114"/>
    <cellStyle name="Normal 2 20" xfId="115"/>
    <cellStyle name="Normal 2 21" xfId="116"/>
    <cellStyle name="Normal 2 22" xfId="117"/>
    <cellStyle name="Normal 2 23" xfId="118"/>
    <cellStyle name="Normal 2 24" xfId="119"/>
    <cellStyle name="Normal 2 25" xfId="120"/>
    <cellStyle name="Normal 2 26" xfId="121"/>
    <cellStyle name="Normal 2 27" xfId="122"/>
    <cellStyle name="Normal 2 28" xfId="123"/>
    <cellStyle name="Normal 2 29" xfId="124"/>
    <cellStyle name="Normal 2 3" xfId="125"/>
    <cellStyle name="Normal 2 30" xfId="126"/>
    <cellStyle name="Normal 2 31" xfId="127"/>
    <cellStyle name="Normal 2 32" xfId="128"/>
    <cellStyle name="Normal 2 33" xfId="129"/>
    <cellStyle name="Normal 2 34" xfId="130"/>
    <cellStyle name="Normal 2 35" xfId="131"/>
    <cellStyle name="Normal 2 36" xfId="132"/>
    <cellStyle name="Normal 2 37" xfId="133"/>
    <cellStyle name="Normal 2 38" xfId="134"/>
    <cellStyle name="Normal 2 39" xfId="135"/>
    <cellStyle name="Normal 2 4" xfId="136"/>
    <cellStyle name="Normal 2 40" xfId="137"/>
    <cellStyle name="Normal 2 41" xfId="138"/>
    <cellStyle name="Normal 2 42" xfId="139"/>
    <cellStyle name="Normal 2 43" xfId="140"/>
    <cellStyle name="Normal 2 44" xfId="141"/>
    <cellStyle name="Normal 2 45" xfId="142"/>
    <cellStyle name="Normal 2 46" xfId="143"/>
    <cellStyle name="Normal 2 47" xfId="144"/>
    <cellStyle name="Normal 2 48" xfId="145"/>
    <cellStyle name="Normal 2 49" xfId="146"/>
    <cellStyle name="Normal 2 5" xfId="147"/>
    <cellStyle name="Normal 2 50" xfId="148"/>
    <cellStyle name="Normal 2 51" xfId="149"/>
    <cellStyle name="Normal 2 52" xfId="150"/>
    <cellStyle name="Normal 2 53" xfId="151"/>
    <cellStyle name="Normal 2 54" xfId="152"/>
    <cellStyle name="Normal 2 55" xfId="153"/>
    <cellStyle name="Normal 2 56" xfId="154"/>
    <cellStyle name="Normal 2 57" xfId="155"/>
    <cellStyle name="Normal 2 58" xfId="156"/>
    <cellStyle name="Normal 2 59" xfId="157"/>
    <cellStyle name="Normal 2 6" xfId="158"/>
    <cellStyle name="Normal 2 60" xfId="159"/>
    <cellStyle name="Normal 2 61" xfId="160"/>
    <cellStyle name="Normal 2 62" xfId="161"/>
    <cellStyle name="Normal 2 63" xfId="162"/>
    <cellStyle name="Normal 2 64" xfId="163"/>
    <cellStyle name="Normal 2 65" xfId="164"/>
    <cellStyle name="Normal 2 66" xfId="165"/>
    <cellStyle name="Normal 2 67" xfId="166"/>
    <cellStyle name="Normal 2 68" xfId="167"/>
    <cellStyle name="Normal 2 69" xfId="168"/>
    <cellStyle name="Normal 2 7" xfId="169"/>
    <cellStyle name="Normal 2 70" xfId="170"/>
    <cellStyle name="Normal 2 71" xfId="171"/>
    <cellStyle name="Normal 2 72" xfId="172"/>
    <cellStyle name="Normal 2 73" xfId="173"/>
    <cellStyle name="Normal 2 74" xfId="174"/>
    <cellStyle name="Normal 2 75" xfId="175"/>
    <cellStyle name="Normal 2 76" xfId="176"/>
    <cellStyle name="Normal 2 77" xfId="177"/>
    <cellStyle name="Normal 2 78" xfId="178"/>
    <cellStyle name="Normal 2 79" xfId="179"/>
    <cellStyle name="Normal 2 8" xfId="180"/>
    <cellStyle name="Normal 2 80" xfId="181"/>
    <cellStyle name="Normal 2 81" xfId="182"/>
    <cellStyle name="Normal 2 82" xfId="183"/>
    <cellStyle name="Normal 2 83" xfId="184"/>
    <cellStyle name="Normal 2 84" xfId="185"/>
    <cellStyle name="Normal 2 85" xfId="186"/>
    <cellStyle name="Normal 2 86" xfId="187"/>
    <cellStyle name="Normal 2 87" xfId="188"/>
    <cellStyle name="Normal 2 88" xfId="189"/>
    <cellStyle name="Normal 2 89" xfId="190"/>
    <cellStyle name="Normal 2 9" xfId="191"/>
    <cellStyle name="Normal 2 90" xfId="192"/>
    <cellStyle name="Normal 2 91" xfId="193"/>
    <cellStyle name="Normal 2 92" xfId="194"/>
    <cellStyle name="Normal 2 93" xfId="195"/>
    <cellStyle name="Normal 2 94" xfId="196"/>
    <cellStyle name="Normal 2 95" xfId="197"/>
    <cellStyle name="Normal 2 96" xfId="198"/>
    <cellStyle name="Normal 2 97" xfId="199"/>
    <cellStyle name="Normal 2 98" xfId="200"/>
    <cellStyle name="Normal 2 99" xfId="201"/>
    <cellStyle name="Normal 3" xfId="202"/>
    <cellStyle name="Normal 4" xfId="203"/>
    <cellStyle name="Normal 5" xfId="204"/>
    <cellStyle name="Normal 6" xfId="205"/>
    <cellStyle name="Normal 7" xfId="206"/>
    <cellStyle name="Normal 8" xfId="207"/>
    <cellStyle name="Normal 9" xfId="208"/>
    <cellStyle name="Normal_000" xfId="209"/>
    <cellStyle name="Normal_1" xfId="210"/>
    <cellStyle name="Normal_AR-00-01" xfId="211"/>
    <cellStyle name="Normal_Copy of EBS-mayagt" xfId="212"/>
    <cellStyle name="Normal_ebs1" xfId="213"/>
    <cellStyle name="Normal_Sheet1" xfId="214"/>
    <cellStyle name="Normal_UB2000-12" xfId="215"/>
    <cellStyle name="RowLevel_3" xfId="1" builtinId="1" iLevel="2"/>
  </cellStyles>
  <dxfs count="2735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6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externalLink" Target="externalLinks/externalLink11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externalLink" Target="externalLinks/externalLink10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77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47113454709549E-2"/>
          <c:y val="0.15064377369495477"/>
          <c:w val="0.6203436311885856"/>
          <c:h val="0.79698385159482366"/>
        </c:manualLayout>
      </c:layout>
      <c:pieChart>
        <c:varyColors val="1"/>
        <c:ser>
          <c:idx val="0"/>
          <c:order val="0"/>
          <c:cat>
            <c:strRef>
              <c:f>'[7]0-14, 15-60, 60+'!$C$41:$E$41</c:f>
              <c:strCache>
                <c:ptCount val="3"/>
                <c:pt idx="0">
                  <c:v>0-14</c:v>
                </c:pt>
                <c:pt idx="1">
                  <c:v>15-59</c:v>
                </c:pt>
                <c:pt idx="2">
                  <c:v>60+</c:v>
                </c:pt>
              </c:strCache>
            </c:strRef>
          </c:cat>
          <c:val>
            <c:numRef>
              <c:f>'[7]0-14, 15-60, 60+'!$C$42:$E$42</c:f>
              <c:numCache>
                <c:formatCode>General</c:formatCode>
                <c:ptCount val="3"/>
                <c:pt idx="0">
                  <c:v>20490</c:v>
                </c:pt>
                <c:pt idx="1">
                  <c:v>49952</c:v>
                </c:pt>
                <c:pt idx="2">
                  <c:v>4281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8906973039979678"/>
          <c:y val="0.38517158236576515"/>
          <c:w val="0.14186275528223879"/>
          <c:h val="0.245192045909515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TARIALALT!$H$7:$H$21</c:f>
              <c:numCache>
                <c:formatCode>0.0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TARIALALT!$I$7:$I$21</c:f>
              <c:numCache>
                <c:formatCode>0.0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358976"/>
        <c:axId val="95360896"/>
        <c:axId val="95113216"/>
      </c:bar3DChart>
      <c:catAx>
        <c:axId val="9535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60896"/>
        <c:crosses val="autoZero"/>
        <c:auto val="0"/>
        <c:lblAlgn val="ctr"/>
        <c:lblOffset val="100"/>
        <c:tickLblSkip val="63"/>
        <c:tickMarkSkip val="1"/>
        <c:noMultiLvlLbl val="1"/>
      </c:catAx>
      <c:valAx>
        <c:axId val="95360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58976"/>
        <c:crosses val="autoZero"/>
        <c:crossBetween val="between"/>
      </c:valAx>
      <c:serAx>
        <c:axId val="951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60896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399936"/>
        <c:axId val="95401856"/>
        <c:axId val="95115008"/>
      </c:bar3DChart>
      <c:catAx>
        <c:axId val="9539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0185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5401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99936"/>
        <c:crosses val="autoZero"/>
        <c:crossBetween val="between"/>
      </c:valAx>
      <c:serAx>
        <c:axId val="9511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018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09824"/>
        <c:axId val="95311360"/>
      </c:barChart>
      <c:catAx>
        <c:axId val="9530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1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531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0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[8]TARIALALT!$C$7:$C$21</c:f>
              <c:numCache>
                <c:formatCode>General</c:formatCode>
                <c:ptCount val="15"/>
                <c:pt idx="2">
                  <c:v>880</c:v>
                </c:pt>
                <c:pt idx="6">
                  <c:v>2580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4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[8]TARIALALT!$D$7:$D$21</c:f>
              <c:numCache>
                <c:formatCode>General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051968"/>
        <c:axId val="98054144"/>
        <c:axId val="95404928"/>
      </c:bar3DChart>
      <c:catAx>
        <c:axId val="98051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5414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805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51968"/>
        <c:crosses val="autoZero"/>
        <c:crossBetween val="between"/>
      </c:valAx>
      <c:serAx>
        <c:axId val="95404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5414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 paperSize="9" orientation="landscape" horizontalDpi="120" verticalDpi="144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[8]TARIALALT!$H$7:$H$21</c:f>
              <c:numCache>
                <c:formatCode>General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[8]TARIALALT!$I$7:$I$21</c:f>
              <c:numCache>
                <c:formatCode>General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089216"/>
        <c:axId val="98095488"/>
        <c:axId val="95406720"/>
      </c:bar3DChart>
      <c:catAx>
        <c:axId val="980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95488"/>
        <c:crosses val="autoZero"/>
        <c:auto val="0"/>
        <c:lblAlgn val="ctr"/>
        <c:lblOffset val="100"/>
        <c:tickLblSkip val="63"/>
        <c:tickMarkSkip val="1"/>
        <c:noMultiLvlLbl val="1"/>
      </c:catAx>
      <c:valAx>
        <c:axId val="98095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89216"/>
        <c:crosses val="autoZero"/>
        <c:crossBetween val="between"/>
      </c:valAx>
      <c:serAx>
        <c:axId val="954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9548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7782016"/>
        <c:axId val="97783808"/>
        <c:axId val="97788352"/>
      </c:bar3DChart>
      <c:catAx>
        <c:axId val="977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7783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2016"/>
        <c:crosses val="autoZero"/>
        <c:crossBetween val="between"/>
      </c:valAx>
      <c:serAx>
        <c:axId val="97788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1760896"/>
        <c:axId val="91766784"/>
        <c:axId val="97790144"/>
      </c:bar3DChart>
      <c:catAx>
        <c:axId val="91760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6784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176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0896"/>
        <c:crosses val="autoZero"/>
        <c:crossBetween val="between"/>
      </c:valAx>
      <c:serAx>
        <c:axId val="97790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6784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1796992"/>
        <c:axId val="91798912"/>
        <c:axId val="91803648"/>
      </c:bar3DChart>
      <c:catAx>
        <c:axId val="9179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9891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1798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96992"/>
        <c:crosses val="autoZero"/>
        <c:crossBetween val="between"/>
      </c:valAx>
      <c:serAx>
        <c:axId val="918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989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626752"/>
        <c:axId val="95628672"/>
        <c:axId val="91805888"/>
      </c:bar3DChart>
      <c:catAx>
        <c:axId val="956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2867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5628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26752"/>
        <c:crosses val="autoZero"/>
        <c:crossBetween val="between"/>
      </c:valAx>
      <c:serAx>
        <c:axId val="918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2867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7863552"/>
        <c:axId val="97869824"/>
        <c:axId val="91807232"/>
      </c:bar3DChart>
      <c:catAx>
        <c:axId val="97863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6982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786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63552"/>
        <c:crosses val="autoZero"/>
        <c:crossBetween val="between"/>
      </c:valAx>
      <c:serAx>
        <c:axId val="91807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6982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32378260843806"/>
          <c:y val="5.0870651477843823E-2"/>
          <c:w val="0.84212699146241043"/>
          <c:h val="0.694921485329800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'[7]huisiin haritsaa'!$P$13</c:f>
              <c:strCache>
                <c:ptCount val="1"/>
                <c:pt idx="0">
                  <c:v>Ýðýãòýé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'[7]huisiin haritsaa'!$Q$12:$W$12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'[7]huisiin haritsaa'!$Q$13:$W$13</c:f>
              <c:numCache>
                <c:formatCode>General</c:formatCode>
                <c:ptCount val="7"/>
                <c:pt idx="0">
                  <c:v>36339</c:v>
                </c:pt>
                <c:pt idx="1">
                  <c:v>36274</c:v>
                </c:pt>
                <c:pt idx="2">
                  <c:v>36579</c:v>
                </c:pt>
                <c:pt idx="3">
                  <c:v>36458</c:v>
                </c:pt>
                <c:pt idx="4">
                  <c:v>36885</c:v>
                </c:pt>
                <c:pt idx="5">
                  <c:v>37212</c:v>
                </c:pt>
                <c:pt idx="6">
                  <c:v>37282</c:v>
                </c:pt>
              </c:numCache>
            </c:numRef>
          </c:val>
        </c:ser>
        <c:ser>
          <c:idx val="1"/>
          <c:order val="1"/>
          <c:tx>
            <c:strRef>
              <c:f>'[7]huisiin haritsaa'!$P$14</c:f>
              <c:strCache>
                <c:ptCount val="1"/>
                <c:pt idx="0">
                  <c:v>ýìýãòýé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'[7]huisiin haritsaa'!$Q$12:$W$12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'[7]huisiin haritsaa'!$Q$14:$W$14</c:f>
              <c:numCache>
                <c:formatCode>General</c:formatCode>
                <c:ptCount val="7"/>
                <c:pt idx="0">
                  <c:v>38231</c:v>
                </c:pt>
                <c:pt idx="1">
                  <c:v>37920</c:v>
                </c:pt>
                <c:pt idx="2">
                  <c:v>37935</c:v>
                </c:pt>
                <c:pt idx="3">
                  <c:v>37435</c:v>
                </c:pt>
                <c:pt idx="4">
                  <c:v>37588</c:v>
                </c:pt>
                <c:pt idx="5">
                  <c:v>37824</c:v>
                </c:pt>
                <c:pt idx="6">
                  <c:v>37441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71688192"/>
        <c:axId val="71689728"/>
        <c:axId val="0"/>
      </c:bar3DChart>
      <c:catAx>
        <c:axId val="716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1689728"/>
        <c:crosses val="autoZero"/>
        <c:auto val="1"/>
        <c:lblAlgn val="ctr"/>
        <c:lblOffset val="100"/>
        <c:noMultiLvlLbl val="0"/>
      </c:catAx>
      <c:valAx>
        <c:axId val="7168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168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492050272562084"/>
          <c:y val="0.87921510779532952"/>
          <c:w val="0.59541754797579949"/>
          <c:h val="6.9307934446339148E-2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707712"/>
        <c:axId val="98713984"/>
        <c:axId val="97867072"/>
      </c:bar3DChart>
      <c:catAx>
        <c:axId val="9870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1398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8713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07712"/>
        <c:crosses val="autoZero"/>
        <c:crossBetween val="between"/>
      </c:valAx>
      <c:serAx>
        <c:axId val="978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1398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748672"/>
        <c:axId val="98754560"/>
        <c:axId val="97868864"/>
      </c:bar3DChart>
      <c:catAx>
        <c:axId val="98748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5456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875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48672"/>
        <c:crosses val="autoZero"/>
        <c:crossBetween val="between"/>
      </c:valAx>
      <c:serAx>
        <c:axId val="97868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5456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9960320"/>
        <c:axId val="99962240"/>
        <c:axId val="98751360"/>
      </c:bar3DChart>
      <c:catAx>
        <c:axId val="9996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6224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9962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60320"/>
        <c:crosses val="autoZero"/>
        <c:crossBetween val="between"/>
      </c:valAx>
      <c:serAx>
        <c:axId val="987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6224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9886592"/>
        <c:axId val="99888512"/>
        <c:axId val="98753152"/>
      </c:bar3DChart>
      <c:catAx>
        <c:axId val="9988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8851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9888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86592"/>
        <c:crosses val="autoZero"/>
        <c:crossBetween val="between"/>
      </c:valAx>
      <c:serAx>
        <c:axId val="987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885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9932032"/>
        <c:axId val="100012032"/>
        <c:axId val="99889600"/>
      </c:bar3DChart>
      <c:catAx>
        <c:axId val="9993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12032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001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32032"/>
        <c:crosses val="autoZero"/>
        <c:crossBetween val="between"/>
      </c:valAx>
      <c:serAx>
        <c:axId val="99889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1203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043008"/>
        <c:axId val="100049280"/>
        <c:axId val="99891392"/>
      </c:bar3DChart>
      <c:catAx>
        <c:axId val="100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4928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04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43008"/>
        <c:crosses val="autoZero"/>
        <c:crossBetween val="between"/>
      </c:valAx>
      <c:serAx>
        <c:axId val="998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0492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437376"/>
        <c:axId val="98443264"/>
        <c:axId val="100044800"/>
      </c:bar3DChart>
      <c:catAx>
        <c:axId val="98437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43264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84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37376"/>
        <c:crosses val="autoZero"/>
        <c:crossBetween val="between"/>
      </c:valAx>
      <c:serAx>
        <c:axId val="100044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43264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485760"/>
        <c:axId val="98487680"/>
        <c:axId val="100046592"/>
      </c:bar3DChart>
      <c:catAx>
        <c:axId val="9848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768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8487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5760"/>
        <c:crosses val="autoZero"/>
        <c:crossBetween val="between"/>
      </c:valAx>
      <c:serAx>
        <c:axId val="1000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76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530816"/>
        <c:axId val="98532736"/>
        <c:axId val="98488320"/>
      </c:bar3DChart>
      <c:catAx>
        <c:axId val="985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3273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98532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30816"/>
        <c:crosses val="autoZero"/>
        <c:crossBetween val="between"/>
      </c:valAx>
      <c:serAx>
        <c:axId val="9848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3273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358016"/>
        <c:axId val="100364288"/>
        <c:axId val="98489664"/>
      </c:bar3DChart>
      <c:catAx>
        <c:axId val="100358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64288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036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58016"/>
        <c:crosses val="autoZero"/>
        <c:crossBetween val="between"/>
      </c:valAx>
      <c:serAx>
        <c:axId val="9848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6428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mn-MN" sz="1200" b="0">
                <a:latin typeface="Arial" pitchFamily="34" charset="0"/>
                <a:cs typeface="Arial" pitchFamily="34" charset="0"/>
              </a:rPr>
              <a:t>Хүн ам тоо, 2001-2012 он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'[7]huisiin haritsaa'!$S$16</c:f>
              <c:strCache>
                <c:ptCount val="1"/>
                <c:pt idx="0">
                  <c:v>Хүн ам тоо, 2001-2012 он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'[7]huisiin haritsaa'!$R$17:$R$24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'[7]huisiin haritsaa'!$S$17:$S$24</c:f>
              <c:numCache>
                <c:formatCode>General</c:formatCode>
                <c:ptCount val="8"/>
                <c:pt idx="0">
                  <c:v>73981</c:v>
                </c:pt>
                <c:pt idx="1">
                  <c:v>74570</c:v>
                </c:pt>
                <c:pt idx="2">
                  <c:v>74194</c:v>
                </c:pt>
                <c:pt idx="3">
                  <c:v>74514</c:v>
                </c:pt>
                <c:pt idx="4">
                  <c:v>73893</c:v>
                </c:pt>
                <c:pt idx="5">
                  <c:v>74473</c:v>
                </c:pt>
                <c:pt idx="6">
                  <c:v>75036</c:v>
                </c:pt>
                <c:pt idx="7">
                  <c:v>74723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1121536"/>
        <c:axId val="91123072"/>
        <c:axId val="0"/>
      </c:bar3DChart>
      <c:catAx>
        <c:axId val="911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123072"/>
        <c:crosses val="autoZero"/>
        <c:auto val="1"/>
        <c:lblAlgn val="ctr"/>
        <c:lblOffset val="100"/>
        <c:noMultiLvlLbl val="0"/>
      </c:catAx>
      <c:valAx>
        <c:axId val="9112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1121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395264"/>
        <c:axId val="98566528"/>
        <c:axId val="98491456"/>
      </c:bar3DChart>
      <c:catAx>
        <c:axId val="1003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6652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98566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395264"/>
        <c:crosses val="autoZero"/>
        <c:crossBetween val="between"/>
      </c:valAx>
      <c:serAx>
        <c:axId val="984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6652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8601216"/>
        <c:axId val="98611200"/>
        <c:axId val="100361088"/>
      </c:bar3DChart>
      <c:catAx>
        <c:axId val="98601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120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9861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01216"/>
        <c:crosses val="autoZero"/>
        <c:crossBetween val="between"/>
      </c:valAx>
      <c:serAx>
        <c:axId val="100361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120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152832"/>
        <c:axId val="100154752"/>
        <c:axId val="100362880"/>
      </c:bar3DChart>
      <c:catAx>
        <c:axId val="1001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5475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154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52832"/>
        <c:crosses val="autoZero"/>
        <c:crossBetween val="between"/>
      </c:valAx>
      <c:serAx>
        <c:axId val="100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5475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201984"/>
        <c:axId val="100203904"/>
        <c:axId val="100073920"/>
      </c:bar3DChart>
      <c:catAx>
        <c:axId val="10020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03904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1002039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01984"/>
        <c:crosses val="autoZero"/>
        <c:crossBetween val="between"/>
      </c:valAx>
      <c:serAx>
        <c:axId val="1000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0390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116352"/>
        <c:axId val="100126720"/>
        <c:axId val="100076160"/>
      </c:bar3DChart>
      <c:catAx>
        <c:axId val="100116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2672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012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16352"/>
        <c:crosses val="autoZero"/>
        <c:crossBetween val="between"/>
      </c:valAx>
      <c:serAx>
        <c:axId val="100076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12672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 paperSize="9" orientation="landscape" horizontalDpi="120" verticalDpi="144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223232"/>
        <c:axId val="100225408"/>
        <c:axId val="100229120"/>
      </c:bar3DChart>
      <c:catAx>
        <c:axId val="10022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540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225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3232"/>
        <c:crosses val="autoZero"/>
        <c:crossBetween val="between"/>
      </c:valAx>
      <c:serAx>
        <c:axId val="1002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2540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66" r="0.75000000000000566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468992"/>
        <c:axId val="100478976"/>
        <c:axId val="100230912"/>
      </c:bar3DChart>
      <c:catAx>
        <c:axId val="100468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78976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10047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68992"/>
        <c:crosses val="autoZero"/>
        <c:crossBetween val="between"/>
      </c:valAx>
      <c:serAx>
        <c:axId val="100230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478976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517376"/>
        <c:axId val="100519296"/>
        <c:axId val="100232704"/>
      </c:bar3DChart>
      <c:catAx>
        <c:axId val="1005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1929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519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17376"/>
        <c:crosses val="autoZero"/>
        <c:crossBetween val="between"/>
      </c:valAx>
      <c:serAx>
        <c:axId val="1002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1929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558336"/>
        <c:axId val="100560256"/>
        <c:axId val="100521280"/>
      </c:bar3DChart>
      <c:catAx>
        <c:axId val="10055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6025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100560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58336"/>
        <c:crosses val="autoZero"/>
        <c:crossBetween val="between"/>
      </c:valAx>
      <c:serAx>
        <c:axId val="10052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602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595584"/>
        <c:axId val="100610048"/>
        <c:axId val="100523072"/>
      </c:bar3DChart>
      <c:catAx>
        <c:axId val="100595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10048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06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95584"/>
        <c:crosses val="autoZero"/>
        <c:crossBetween val="between"/>
      </c:valAx>
      <c:serAx>
        <c:axId val="100523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1004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9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'Zarlaga-28,29'!$A$120</c:f>
              <c:strCache>
                <c:ptCount val="1"/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'Zarlaga-28,29'!$B$121:$C$121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94496"/>
        <c:axId val="94796032"/>
      </c:barChart>
      <c:catAx>
        <c:axId val="94794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96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47960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94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641024"/>
        <c:axId val="100647296"/>
        <c:axId val="100606848"/>
      </c:bar3DChart>
      <c:catAx>
        <c:axId val="1006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29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647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1024"/>
        <c:crosses val="autoZero"/>
        <c:crossBetween val="between"/>
      </c:valAx>
      <c:serAx>
        <c:axId val="1006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29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764288"/>
        <c:axId val="100770176"/>
        <c:axId val="100608640"/>
      </c:bar3DChart>
      <c:catAx>
        <c:axId val="100764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70176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1007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64288"/>
        <c:crosses val="autoZero"/>
        <c:crossBetween val="between"/>
      </c:valAx>
      <c:serAx>
        <c:axId val="100608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70176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800384"/>
        <c:axId val="100806656"/>
        <c:axId val="100766144"/>
      </c:bar3DChart>
      <c:catAx>
        <c:axId val="1008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06656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0806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00384"/>
        <c:crosses val="autoZero"/>
        <c:crossBetween val="between"/>
      </c:valAx>
      <c:serAx>
        <c:axId val="1007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0665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845440"/>
        <c:axId val="100851712"/>
        <c:axId val="100767936"/>
      </c:bar3DChart>
      <c:catAx>
        <c:axId val="10084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51712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100851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45440"/>
        <c:crosses val="autoZero"/>
        <c:crossBetween val="between"/>
      </c:valAx>
      <c:serAx>
        <c:axId val="10076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5171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907264"/>
        <c:axId val="100913536"/>
        <c:axId val="100847616"/>
      </c:bar3DChart>
      <c:catAx>
        <c:axId val="100907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13536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091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07264"/>
        <c:crosses val="autoZero"/>
        <c:crossBetween val="between"/>
      </c:valAx>
      <c:serAx>
        <c:axId val="100847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1353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214848"/>
        <c:axId val="101221120"/>
        <c:axId val="100849408"/>
      </c:bar3DChart>
      <c:catAx>
        <c:axId val="10121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21120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1221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14848"/>
        <c:crosses val="autoZero"/>
        <c:crossBetween val="between"/>
      </c:valAx>
      <c:serAx>
        <c:axId val="1008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2112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0997376"/>
        <c:axId val="101007360"/>
        <c:axId val="101216256"/>
      </c:bar3DChart>
      <c:catAx>
        <c:axId val="100997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07360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10100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97376"/>
        <c:crosses val="autoZero"/>
        <c:crossBetween val="between"/>
      </c:valAx>
      <c:serAx>
        <c:axId val="101216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0736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033472"/>
        <c:axId val="101035392"/>
        <c:axId val="101218048"/>
      </c:bar3DChart>
      <c:catAx>
        <c:axId val="10103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35392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1035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33472"/>
        <c:crosses val="autoZero"/>
        <c:crossBetween val="between"/>
      </c:valAx>
      <c:serAx>
        <c:axId val="1012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35392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078528"/>
        <c:axId val="101080448"/>
        <c:axId val="101036032"/>
      </c:bar3DChart>
      <c:catAx>
        <c:axId val="10107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80448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101080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78528"/>
        <c:crosses val="autoZero"/>
        <c:crossBetween val="between"/>
      </c:valAx>
      <c:serAx>
        <c:axId val="10103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8044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123968"/>
        <c:axId val="101126144"/>
        <c:axId val="101037376"/>
      </c:bar3DChart>
      <c:catAx>
        <c:axId val="1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2614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112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23968"/>
        <c:crosses val="autoZero"/>
        <c:crossBetween val="between"/>
      </c:valAx>
      <c:serAx>
        <c:axId val="101037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2614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t>Mfv.nay pgjlgug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12601626016260198"/>
          <c:w val="0"/>
          <c:h val="0.654471544715447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'Zarlaga-28,29'!$B$121:$C$121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20224"/>
        <c:axId val="94822400"/>
      </c:barChart>
      <c:catAx>
        <c:axId val="948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22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48224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20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165312"/>
        <c:axId val="101167488"/>
        <c:axId val="101039168"/>
      </c:bar3DChart>
      <c:catAx>
        <c:axId val="10116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6748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1167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65312"/>
        <c:crosses val="autoZero"/>
        <c:crossBetween val="between"/>
      </c:valAx>
      <c:serAx>
        <c:axId val="1010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6748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341440"/>
        <c:axId val="101343232"/>
        <c:axId val="101347776"/>
      </c:bar3DChart>
      <c:catAx>
        <c:axId val="101341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3232"/>
        <c:crosses val="autoZero"/>
        <c:auto val="0"/>
        <c:lblAlgn val="ctr"/>
        <c:lblOffset val="100"/>
        <c:tickLblSkip val="32"/>
        <c:tickMarkSkip val="1"/>
        <c:noMultiLvlLbl val="1"/>
      </c:catAx>
      <c:valAx>
        <c:axId val="10134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1440"/>
        <c:crosses val="autoZero"/>
        <c:crossBetween val="between"/>
      </c:valAx>
      <c:serAx>
        <c:axId val="101347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43232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390208"/>
        <c:axId val="101392384"/>
        <c:axId val="101349568"/>
      </c:bar3DChart>
      <c:catAx>
        <c:axId val="1013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92384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1392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90208"/>
        <c:crosses val="autoZero"/>
        <c:crossBetween val="between"/>
      </c:valAx>
      <c:serAx>
        <c:axId val="1013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9238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431168"/>
        <c:axId val="101441536"/>
        <c:axId val="101437440"/>
      </c:bar3DChart>
      <c:catAx>
        <c:axId val="1014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bgzumgy; dgaugg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4153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10144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ug@uggj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31168"/>
        <c:crosses val="autoZero"/>
        <c:crossBetween val="between"/>
      </c:valAx>
      <c:serAx>
        <c:axId val="10143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4153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[9]TARIALALT!$C$7:$C$21</c:f>
              <c:numCache>
                <c:formatCode>General</c:formatCode>
                <c:ptCount val="15"/>
                <c:pt idx="2">
                  <c:v>920</c:v>
                </c:pt>
                <c:pt idx="6">
                  <c:v>2730</c:v>
                </c:pt>
                <c:pt idx="7">
                  <c:v>140</c:v>
                </c:pt>
                <c:pt idx="9">
                  <c:v>950</c:v>
                </c:pt>
                <c:pt idx="10">
                  <c:v>300</c:v>
                </c:pt>
                <c:pt idx="11">
                  <c:v>180</c:v>
                </c:pt>
                <c:pt idx="13">
                  <c:v>200</c:v>
                </c:pt>
                <c:pt idx="14">
                  <c:v>5420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[9]TARIALALT!$D$7:$D$21</c:f>
              <c:numCache>
                <c:formatCode>General</c:formatCode>
                <c:ptCount val="15"/>
                <c:pt idx="1">
                  <c:v>0</c:v>
                </c:pt>
                <c:pt idx="2">
                  <c:v>880</c:v>
                </c:pt>
                <c:pt idx="4">
                  <c:v>0</c:v>
                </c:pt>
                <c:pt idx="6">
                  <c:v>2620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3">
                  <c:v>0</c:v>
                </c:pt>
                <c:pt idx="14">
                  <c:v>5040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472512"/>
        <c:axId val="101482880"/>
        <c:axId val="101439232"/>
      </c:bar3DChart>
      <c:catAx>
        <c:axId val="101472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82880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148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72512"/>
        <c:crosses val="autoZero"/>
        <c:crossBetween val="between"/>
      </c:valAx>
      <c:serAx>
        <c:axId val="101439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82880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 paperSize="9" orientation="landscape" horizontalDpi="120" verticalDpi="14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[9]TARIALALT!$H$7:$H$21</c:f>
              <c:numCache>
                <c:formatCode>General</c:formatCode>
                <c:ptCount val="15"/>
                <c:pt idx="0">
                  <c:v>12</c:v>
                </c:pt>
                <c:pt idx="1">
                  <c:v>2</c:v>
                </c:pt>
                <c:pt idx="2">
                  <c:v>35</c:v>
                </c:pt>
                <c:pt idx="3">
                  <c:v>5</c:v>
                </c:pt>
                <c:pt idx="4">
                  <c:v>12</c:v>
                </c:pt>
                <c:pt idx="5">
                  <c:v>1</c:v>
                </c:pt>
                <c:pt idx="6">
                  <c:v>12.7</c:v>
                </c:pt>
                <c:pt idx="7">
                  <c:v>2</c:v>
                </c:pt>
                <c:pt idx="8">
                  <c:v>5</c:v>
                </c:pt>
                <c:pt idx="9">
                  <c:v>9.8000000000000007</c:v>
                </c:pt>
                <c:pt idx="10">
                  <c:v>27.4</c:v>
                </c:pt>
                <c:pt idx="11">
                  <c:v>1</c:v>
                </c:pt>
                <c:pt idx="12">
                  <c:v>11.6</c:v>
                </c:pt>
                <c:pt idx="13">
                  <c:v>112</c:v>
                </c:pt>
                <c:pt idx="14">
                  <c:v>248.5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[9]TARIALALT!$I$7:$I$21</c:f>
              <c:numCache>
                <c:formatCode>General</c:formatCode>
                <c:ptCount val="15"/>
                <c:pt idx="0">
                  <c:v>13</c:v>
                </c:pt>
                <c:pt idx="1">
                  <c:v>1</c:v>
                </c:pt>
                <c:pt idx="2">
                  <c:v>31</c:v>
                </c:pt>
                <c:pt idx="3">
                  <c:v>4</c:v>
                </c:pt>
                <c:pt idx="4">
                  <c:v>10.3</c:v>
                </c:pt>
                <c:pt idx="5">
                  <c:v>2</c:v>
                </c:pt>
                <c:pt idx="6">
                  <c:v>7.7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20.399999999999999</c:v>
                </c:pt>
                <c:pt idx="11">
                  <c:v>0.5</c:v>
                </c:pt>
                <c:pt idx="12">
                  <c:v>4.2</c:v>
                </c:pt>
                <c:pt idx="13">
                  <c:v>110</c:v>
                </c:pt>
                <c:pt idx="14">
                  <c:v>218.2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101517952"/>
        <c:axId val="101520128"/>
        <c:axId val="101441024"/>
      </c:bar3DChart>
      <c:catAx>
        <c:axId val="1015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0128"/>
        <c:crosses val="autoZero"/>
        <c:auto val="0"/>
        <c:lblAlgn val="ctr"/>
        <c:lblOffset val="100"/>
        <c:tickLblSkip val="5"/>
        <c:tickMarkSkip val="1"/>
        <c:noMultiLvlLbl val="1"/>
      </c:catAx>
      <c:valAx>
        <c:axId val="101520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rPr lang="en-US"/>
                  <a:t>Mgj,vgy ug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17952"/>
        <c:crosses val="autoZero"/>
        <c:crossBetween val="between"/>
      </c:valAx>
      <c:serAx>
        <c:axId val="1014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2012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255" r="0.7500000000000025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01570048"/>
        <c:axId val="101571584"/>
        <c:axId val="101525696"/>
      </c:line3DChart>
      <c:catAx>
        <c:axId val="101570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71584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10157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70048"/>
        <c:crosses val="autoZero"/>
        <c:crossBetween val="midCat"/>
      </c:valAx>
      <c:serAx>
        <c:axId val="101525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71584"/>
        <c:crosses val="autoZero"/>
        <c:tickLblSkip val="2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30880"/>
        <c:axId val="98344960"/>
      </c:barChart>
      <c:catAx>
        <c:axId val="9833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4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4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30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67" r="0.75000000000000167" t="1" header="0.5" footer="0.5"/>
    <c:pageSetup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'[14]AY-but'!$F$19</c:f>
              <c:numCache>
                <c:formatCode>General</c:formatCode>
                <c:ptCount val="1"/>
                <c:pt idx="0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52512"/>
        <c:axId val="98358400"/>
      </c:barChart>
      <c:catAx>
        <c:axId val="983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5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52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67" r="0.75000000000000167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gg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'Zarlaga-28,29'!$B$121:$C$121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94668672"/>
        <c:axId val="94670208"/>
        <c:axId val="0"/>
      </c:bar3DChart>
      <c:catAx>
        <c:axId val="946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70208"/>
        <c:crosses val="autoZero"/>
        <c:auto val="0"/>
        <c:lblAlgn val="ctr"/>
        <c:lblOffset val="100"/>
        <c:tickLblSkip val="8"/>
        <c:tickMarkSkip val="1"/>
        <c:noMultiLvlLbl val="0"/>
      </c:catAx>
      <c:valAx>
        <c:axId val="9467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68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t>Mfv.nay pgjlgug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2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4.9868766404199474E-2"/>
          <c:w val="0"/>
          <c:h val="0.9107611548556425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'Zarlaga-28,29'!$B$121:$C$121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94677248"/>
        <c:axId val="94900608"/>
        <c:axId val="0"/>
      </c:bar3DChart>
      <c:catAx>
        <c:axId val="9467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jj</a:t>
                </a:r>
              </a:p>
            </c:rich>
          </c:tx>
          <c:overlay val="0"/>
          <c:spPr>
            <a:solidFill>
              <a:srgbClr val="0000FF"/>
            </a:solidFill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00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490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tmon"/>
                    <a:ea typeface="Datmon"/>
                    <a:cs typeface="Datmon"/>
                  </a:defRPr>
                </a:pPr>
                <a:r>
                  <a:t>Mfv.nay pgjlgug</a:t>
                </a:r>
              </a:p>
            </c:rich>
          </c:tx>
          <c:overlay val="0"/>
          <c:spPr>
            <a:solidFill>
              <a:srgbClr val="FF00FF"/>
            </a:solidFill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7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6336"/>
        <c:axId val="94927872"/>
      </c:barChart>
      <c:catAx>
        <c:axId val="94926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2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49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0"/>
      <c:rotY val="20"/>
      <c:depthPercent val="2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TARIALALT!$C$7:$C$21</c:f>
              <c:numCache>
                <c:formatCode>General</c:formatCode>
                <c:ptCount val="15"/>
                <c:pt idx="2" formatCode="0.0">
                  <c:v>880</c:v>
                </c:pt>
                <c:pt idx="6" formatCode="0.0">
                  <c:v>2580</c:v>
                </c:pt>
                <c:pt idx="7" formatCode="0.0">
                  <c:v>200</c:v>
                </c:pt>
                <c:pt idx="9" formatCode="0.0">
                  <c:v>950</c:v>
                </c:pt>
                <c:pt idx="10" formatCode="0.0">
                  <c:v>390</c:v>
                </c:pt>
                <c:pt idx="14" formatCode="0.0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TARIALALT!$D$7:$D$21</c:f>
              <c:numCache>
                <c:formatCode>0.0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50"/>
        <c:shape val="box"/>
        <c:axId val="95112576"/>
        <c:axId val="95118848"/>
        <c:axId val="94652608"/>
      </c:bar3DChart>
      <c:catAx>
        <c:axId val="95112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18848"/>
        <c:crosses val="autoZero"/>
        <c:auto val="0"/>
        <c:lblAlgn val="ctr"/>
        <c:lblOffset val="100"/>
        <c:tickLblSkip val="7"/>
        <c:tickMarkSkip val="1"/>
        <c:noMultiLvlLbl val="1"/>
      </c:catAx>
      <c:valAx>
        <c:axId val="9511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12576"/>
        <c:crosses val="autoZero"/>
        <c:crossBetween val="between"/>
      </c:valAx>
      <c:serAx>
        <c:axId val="94652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1884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22" r="0.75000000000000122" t="1" header="0.5" footer="0.5"/>
    <c:pageSetup paperSize="9" orientation="landscape" horizontalDpi="120" verticalDpi="14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26" Type="http://schemas.openxmlformats.org/officeDocument/2006/relationships/chart" Target="../charts/chart41.xml"/><Relationship Id="rId39" Type="http://schemas.openxmlformats.org/officeDocument/2006/relationships/chart" Target="../charts/chart54.xml"/><Relationship Id="rId3" Type="http://schemas.openxmlformats.org/officeDocument/2006/relationships/chart" Target="../charts/chart18.xml"/><Relationship Id="rId21" Type="http://schemas.openxmlformats.org/officeDocument/2006/relationships/chart" Target="../charts/chart36.xml"/><Relationship Id="rId34" Type="http://schemas.openxmlformats.org/officeDocument/2006/relationships/chart" Target="../charts/chart49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33" Type="http://schemas.openxmlformats.org/officeDocument/2006/relationships/chart" Target="../charts/chart48.xml"/><Relationship Id="rId38" Type="http://schemas.openxmlformats.org/officeDocument/2006/relationships/chart" Target="../charts/chart53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29" Type="http://schemas.openxmlformats.org/officeDocument/2006/relationships/chart" Target="../charts/chart44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32" Type="http://schemas.openxmlformats.org/officeDocument/2006/relationships/chart" Target="../charts/chart47.xml"/><Relationship Id="rId37" Type="http://schemas.openxmlformats.org/officeDocument/2006/relationships/chart" Target="../charts/chart52.xml"/><Relationship Id="rId40" Type="http://schemas.openxmlformats.org/officeDocument/2006/relationships/chart" Target="../charts/chart55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chart" Target="../charts/chart43.xml"/><Relationship Id="rId36" Type="http://schemas.openxmlformats.org/officeDocument/2006/relationships/chart" Target="../charts/chart51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31" Type="http://schemas.openxmlformats.org/officeDocument/2006/relationships/chart" Target="../charts/chart46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chart" Target="../charts/chart42.xml"/><Relationship Id="rId30" Type="http://schemas.openxmlformats.org/officeDocument/2006/relationships/chart" Target="../charts/chart45.xml"/><Relationship Id="rId35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28574</xdr:colOff>
      <xdr:row>193</xdr:row>
      <xdr:rowOff>19050</xdr:rowOff>
    </xdr:from>
    <xdr:to>
      <xdr:col>152</xdr:col>
      <xdr:colOff>9525</xdr:colOff>
      <xdr:row>219</xdr:row>
      <xdr:rowOff>9525</xdr:rowOff>
    </xdr:to>
    <xdr:sp macro="" textlink="">
      <xdr:nvSpPr>
        <xdr:cNvPr id="2" name="Text Box 2052"/>
        <xdr:cNvSpPr txBox="1">
          <a:spLocks noChangeArrowheads="1"/>
        </xdr:cNvSpPr>
      </xdr:nvSpPr>
      <xdr:spPr bwMode="auto">
        <a:xfrm>
          <a:off x="638174" y="7600950"/>
          <a:ext cx="5162551" cy="981075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strike="noStrike">
              <a:solidFill>
                <a:srgbClr val="0000FF"/>
              </a:solidFill>
              <a:latin typeface="Arial"/>
              <a:cs typeface="Arial"/>
            </a:rPr>
            <a:t>S T A T I S T I C A L    S E C T I O N</a:t>
          </a:r>
        </a:p>
      </xdr:txBody>
    </xdr:sp>
    <xdr:clientData/>
  </xdr:twoCellAnchor>
  <xdr:twoCellAnchor>
    <xdr:from>
      <xdr:col>17</xdr:col>
      <xdr:colOff>19052</xdr:colOff>
      <xdr:row>195</xdr:row>
      <xdr:rowOff>19051</xdr:rowOff>
    </xdr:from>
    <xdr:to>
      <xdr:col>151</xdr:col>
      <xdr:colOff>19050</xdr:colOff>
      <xdr:row>216</xdr:row>
      <xdr:rowOff>28575</xdr:rowOff>
    </xdr:to>
    <xdr:sp macro="" textlink="">
      <xdr:nvSpPr>
        <xdr:cNvPr id="3" name="WordArt 2053"/>
        <xdr:cNvSpPr>
          <a:spLocks noChangeArrowheads="1" noChangeShapeType="1" noTextEdit="1"/>
        </xdr:cNvSpPr>
      </xdr:nvSpPr>
      <xdr:spPr bwMode="auto">
        <a:xfrm>
          <a:off x="10382252" y="9658351"/>
          <a:ext cx="81686398" cy="809624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en-US" sz="3600" b="1" kern="10" spc="0">
              <a:ln w="9525">
                <a:solidFill>
                  <a:srgbClr val="FF0000"/>
                </a:solidFill>
                <a:round/>
                <a:headEnd/>
                <a:tailEnd/>
              </a:ln>
              <a:solidFill>
                <a:srgbClr val="FFFF00"/>
              </a:solidFill>
              <a:effectLst/>
              <a:latin typeface="Arial Mon"/>
            </a:rPr>
            <a:t>STATISTICAL BULLETIN</a:t>
          </a:r>
        </a:p>
      </xdr:txBody>
    </xdr:sp>
    <xdr:clientData/>
  </xdr:twoCellAnchor>
  <xdr:twoCellAnchor editAs="oneCell">
    <xdr:from>
      <xdr:col>19</xdr:col>
      <xdr:colOff>9525</xdr:colOff>
      <xdr:row>9</xdr:row>
      <xdr:rowOff>19050</xdr:rowOff>
    </xdr:from>
    <xdr:to>
      <xdr:col>44</xdr:col>
      <xdr:colOff>0</xdr:colOff>
      <xdr:row>27</xdr:row>
      <xdr:rowOff>19050</xdr:rowOff>
    </xdr:to>
    <xdr:pic>
      <xdr:nvPicPr>
        <xdr:cNvPr id="59107146" name="Picture 8" descr="C:\Documents and Settings\Administrator\My Documents\cimg0x135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3619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54</xdr:col>
      <xdr:colOff>0</xdr:colOff>
      <xdr:row>89</xdr:row>
      <xdr:rowOff>28575</xdr:rowOff>
    </xdr:from>
    <xdr:to>
      <xdr:col>124</xdr:col>
      <xdr:colOff>9525</xdr:colOff>
      <xdr:row>132</xdr:row>
      <xdr:rowOff>9525</xdr:rowOff>
    </xdr:to>
    <xdr:pic>
      <xdr:nvPicPr>
        <xdr:cNvPr id="5910714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57400" y="3648075"/>
          <a:ext cx="26765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31685</xdr:colOff>
      <xdr:row>52</xdr:row>
      <xdr:rowOff>29114</xdr:rowOff>
    </xdr:from>
    <xdr:ext cx="4930839" cy="918200"/>
    <xdr:sp macro="" textlink="">
      <xdr:nvSpPr>
        <xdr:cNvPr id="6" name="Rectangle 5"/>
        <xdr:cNvSpPr/>
      </xdr:nvSpPr>
      <xdr:spPr>
        <a:xfrm>
          <a:off x="12833285" y="2238914"/>
          <a:ext cx="4930839" cy="9182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Äîðíîä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 àéìãèéí íèéãýì, </a:t>
          </a:r>
        </a:p>
        <a:p>
          <a:pPr algn="ctr"/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ýäèéí çàñãèéí áàéäàë</a:t>
          </a:r>
          <a:endParaRPr lang="en-US" sz="2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21</xdr:col>
      <xdr:colOff>28575</xdr:colOff>
      <xdr:row>141</xdr:row>
      <xdr:rowOff>28575</xdr:rowOff>
    </xdr:from>
    <xdr:ext cx="4930839" cy="505267"/>
    <xdr:sp macro="" textlink="">
      <xdr:nvSpPr>
        <xdr:cNvPr id="7" name="Rectangle 6"/>
        <xdr:cNvSpPr/>
      </xdr:nvSpPr>
      <xdr:spPr>
        <a:xfrm>
          <a:off x="12830175" y="5629275"/>
          <a:ext cx="4930839" cy="5052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òàíèëöóóëãà   2012/12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19</xdr:row>
      <xdr:rowOff>0</xdr:rowOff>
    </xdr:from>
    <xdr:to>
      <xdr:col>5</xdr:col>
      <xdr:colOff>180975</xdr:colOff>
      <xdr:row>19</xdr:row>
      <xdr:rowOff>0</xdr:rowOff>
    </xdr:to>
    <xdr:sp macro="" textlink="">
      <xdr:nvSpPr>
        <xdr:cNvPr id="66843856" name="Line 5"/>
        <xdr:cNvSpPr>
          <a:spLocks noChangeShapeType="1"/>
        </xdr:cNvSpPr>
      </xdr:nvSpPr>
      <xdr:spPr bwMode="auto">
        <a:xfrm>
          <a:off x="5791200" y="3829050"/>
          <a:ext cx="523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695325</xdr:colOff>
      <xdr:row>19</xdr:row>
      <xdr:rowOff>0</xdr:rowOff>
    </xdr:from>
    <xdr:to>
      <xdr:col>5</xdr:col>
      <xdr:colOff>114300</xdr:colOff>
      <xdr:row>19</xdr:row>
      <xdr:rowOff>0</xdr:rowOff>
    </xdr:to>
    <xdr:sp macro="" textlink="">
      <xdr:nvSpPr>
        <xdr:cNvPr id="66843857" name="Line 6"/>
        <xdr:cNvSpPr>
          <a:spLocks noChangeShapeType="1"/>
        </xdr:cNvSpPr>
      </xdr:nvSpPr>
      <xdr:spPr bwMode="auto">
        <a:xfrm flipV="1">
          <a:off x="5829300" y="3829050"/>
          <a:ext cx="419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66675</xdr:colOff>
      <xdr:row>19</xdr:row>
      <xdr:rowOff>0</xdr:rowOff>
    </xdr:from>
    <xdr:to>
      <xdr:col>2</xdr:col>
      <xdr:colOff>295275</xdr:colOff>
      <xdr:row>19</xdr:row>
      <xdr:rowOff>0</xdr:rowOff>
    </xdr:to>
    <xdr:graphicFrame macro="">
      <xdr:nvGraphicFramePr>
        <xdr:cNvPr id="668438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476250</xdr:colOff>
      <xdr:row>19</xdr:row>
      <xdr:rowOff>0</xdr:rowOff>
    </xdr:from>
    <xdr:to>
      <xdr:col>7</xdr:col>
      <xdr:colOff>0</xdr:colOff>
      <xdr:row>19</xdr:row>
      <xdr:rowOff>0</xdr:rowOff>
    </xdr:to>
    <xdr:graphicFrame macro="">
      <xdr:nvGraphicFramePr>
        <xdr:cNvPr id="6684385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60" name="Line 14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61" name="Line 15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62" name="Line 16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63" name="Line 17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647700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64" name="Line 18"/>
        <xdr:cNvSpPr>
          <a:spLocks noChangeShapeType="1"/>
        </xdr:cNvSpPr>
      </xdr:nvSpPr>
      <xdr:spPr bwMode="auto">
        <a:xfrm>
          <a:off x="3571875" y="3829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65" name="Line 19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66" name="Line 20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67" name="Line 21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68" name="Line 22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69" name="Line 23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70" name="Line 24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71" name="Line 25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72" name="Line 5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73" name="Line 6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74" name="Line 14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75" name="Line 15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76" name="Line 16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77" name="Line 17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78" name="Line 20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79" name="Line 21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80" name="Line 5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81" name="Line 6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82" name="Line 14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83" name="Line 15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84" name="Line 16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85" name="Line 17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86" name="Line 20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87" name="Line 21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88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89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890" name="Line 5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891" name="Line 6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92" name="Line 14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93" name="Line 15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94" name="Line 16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95" name="Line 17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96" name="Line 20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97" name="Line 21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898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899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00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01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657225</xdr:colOff>
      <xdr:row>19</xdr:row>
      <xdr:rowOff>0</xdr:rowOff>
    </xdr:from>
    <xdr:to>
      <xdr:col>4</xdr:col>
      <xdr:colOff>180975</xdr:colOff>
      <xdr:row>19</xdr:row>
      <xdr:rowOff>0</xdr:rowOff>
    </xdr:to>
    <xdr:sp macro="" textlink="">
      <xdr:nvSpPr>
        <xdr:cNvPr id="66843902" name="Line 5"/>
        <xdr:cNvSpPr>
          <a:spLocks noChangeShapeType="1"/>
        </xdr:cNvSpPr>
      </xdr:nvSpPr>
      <xdr:spPr bwMode="auto">
        <a:xfrm>
          <a:off x="4724400" y="38290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695325</xdr:colOff>
      <xdr:row>19</xdr:row>
      <xdr:rowOff>0</xdr:rowOff>
    </xdr:from>
    <xdr:to>
      <xdr:col>4</xdr:col>
      <xdr:colOff>114300</xdr:colOff>
      <xdr:row>19</xdr:row>
      <xdr:rowOff>0</xdr:rowOff>
    </xdr:to>
    <xdr:sp macro="" textlink="">
      <xdr:nvSpPr>
        <xdr:cNvPr id="66843903" name="Line 6"/>
        <xdr:cNvSpPr>
          <a:spLocks noChangeShapeType="1"/>
        </xdr:cNvSpPr>
      </xdr:nvSpPr>
      <xdr:spPr bwMode="auto">
        <a:xfrm flipV="1">
          <a:off x="4762500" y="3829050"/>
          <a:ext cx="485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04" name="Line 14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05" name="Line 15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06" name="Line 16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07" name="Line 17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08" name="Line 20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09" name="Line 21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10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11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12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13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19</xdr:row>
      <xdr:rowOff>0</xdr:rowOff>
    </xdr:from>
    <xdr:to>
      <xdr:col>3</xdr:col>
      <xdr:colOff>180975</xdr:colOff>
      <xdr:row>19</xdr:row>
      <xdr:rowOff>0</xdr:rowOff>
    </xdr:to>
    <xdr:sp macro="" textlink="">
      <xdr:nvSpPr>
        <xdr:cNvPr id="66843914" name="Line 5"/>
        <xdr:cNvSpPr>
          <a:spLocks noChangeShapeType="1"/>
        </xdr:cNvSpPr>
      </xdr:nvSpPr>
      <xdr:spPr bwMode="auto">
        <a:xfrm>
          <a:off x="3581400" y="38290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19</xdr:row>
      <xdr:rowOff>0</xdr:rowOff>
    </xdr:from>
    <xdr:to>
      <xdr:col>3</xdr:col>
      <xdr:colOff>114300</xdr:colOff>
      <xdr:row>19</xdr:row>
      <xdr:rowOff>0</xdr:rowOff>
    </xdr:to>
    <xdr:sp macro="" textlink="">
      <xdr:nvSpPr>
        <xdr:cNvPr id="66843915" name="Line 6"/>
        <xdr:cNvSpPr>
          <a:spLocks noChangeShapeType="1"/>
        </xdr:cNvSpPr>
      </xdr:nvSpPr>
      <xdr:spPr bwMode="auto">
        <a:xfrm flipV="1">
          <a:off x="3619500" y="3829050"/>
          <a:ext cx="561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32</xdr:row>
      <xdr:rowOff>38100</xdr:rowOff>
    </xdr:from>
    <xdr:to>
      <xdr:col>7</xdr:col>
      <xdr:colOff>542925</xdr:colOff>
      <xdr:row>53</xdr:row>
      <xdr:rowOff>152400</xdr:rowOff>
    </xdr:to>
    <xdr:sp macro="" textlink="">
      <xdr:nvSpPr>
        <xdr:cNvPr id="55381407" name="AutoShape 2"/>
        <xdr:cNvSpPr>
          <a:spLocks noChangeArrowheads="1"/>
        </xdr:cNvSpPr>
      </xdr:nvSpPr>
      <xdr:spPr bwMode="auto">
        <a:xfrm>
          <a:off x="762000" y="5219700"/>
          <a:ext cx="4048125" cy="3514725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95250</xdr:rowOff>
    </xdr:from>
    <xdr:to>
      <xdr:col>7</xdr:col>
      <xdr:colOff>295275</xdr:colOff>
      <xdr:row>51</xdr:row>
      <xdr:rowOff>76200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1219200" y="5762625"/>
          <a:ext cx="3343275" cy="2571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Ìýäýýã áîëîâñðóóëæ, áýëòãýñýí: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                                                            </a:t>
          </a: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 Mon"/>
            </a:rPr>
            <a:t>                   Ц.Цэцгээ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 </a:t>
          </a:r>
          <a:endParaRPr lang="mn-MN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 Mon"/>
            </a:rPr>
            <a:t>                 Э.Отгон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 </a:t>
          </a:r>
          <a:endParaRPr lang="mn-MN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 Mon"/>
            </a:rPr>
            <a:t>                        Т.Туяацэцэг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    Р.Жаргалтуяа</a:t>
          </a: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   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Ì.Òºìºð÷èìýã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   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Õÿíàñàí:             Ä.Ýíõáààòàð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E-mail; dstatistic@yahoo.com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                  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Óòàñ: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7058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2879, </a:t>
          </a:r>
          <a:r>
            <a:rPr lang="mn-MN" sz="1000" b="0" i="0" strike="noStrike">
              <a:solidFill>
                <a:srgbClr val="000000"/>
              </a:solidFill>
              <a:latin typeface="Arial Mon"/>
            </a:rPr>
            <a:t>70584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240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39</xdr:row>
      <xdr:rowOff>57150</xdr:rowOff>
    </xdr:from>
    <xdr:to>
      <xdr:col>10</xdr:col>
      <xdr:colOff>533400</xdr:colOff>
      <xdr:row>58</xdr:row>
      <xdr:rowOff>57149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19051</xdr:colOff>
      <xdr:row>15</xdr:row>
      <xdr:rowOff>333374</xdr:rowOff>
    </xdr:from>
    <xdr:to>
      <xdr:col>13</xdr:col>
      <xdr:colOff>476250</xdr:colOff>
      <xdr:row>32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323850</xdr:rowOff>
    </xdr:from>
    <xdr:to>
      <xdr:col>5</xdr:col>
      <xdr:colOff>19050</xdr:colOff>
      <xdr:row>32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140</xdr:row>
      <xdr:rowOff>142875</xdr:rowOff>
    </xdr:from>
    <xdr:to>
      <xdr:col>0</xdr:col>
      <xdr:colOff>0</xdr:colOff>
      <xdr:row>156</xdr:row>
      <xdr:rowOff>142875</xdr:rowOff>
    </xdr:to>
    <xdr:graphicFrame macro="">
      <xdr:nvGraphicFramePr>
        <xdr:cNvPr id="62275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104775</xdr:rowOff>
    </xdr:from>
    <xdr:to>
      <xdr:col>0</xdr:col>
      <xdr:colOff>0</xdr:colOff>
      <xdr:row>152</xdr:row>
      <xdr:rowOff>123825</xdr:rowOff>
    </xdr:to>
    <xdr:graphicFrame macro="">
      <xdr:nvGraphicFramePr>
        <xdr:cNvPr id="6227530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141</xdr:row>
      <xdr:rowOff>114300</xdr:rowOff>
    </xdr:from>
    <xdr:to>
      <xdr:col>0</xdr:col>
      <xdr:colOff>0</xdr:colOff>
      <xdr:row>156</xdr:row>
      <xdr:rowOff>19050</xdr:rowOff>
    </xdr:to>
    <xdr:graphicFrame macro="">
      <xdr:nvGraphicFramePr>
        <xdr:cNvPr id="622753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140</xdr:row>
      <xdr:rowOff>123825</xdr:rowOff>
    </xdr:from>
    <xdr:to>
      <xdr:col>0</xdr:col>
      <xdr:colOff>0</xdr:colOff>
      <xdr:row>158</xdr:row>
      <xdr:rowOff>28575</xdr:rowOff>
    </xdr:to>
    <xdr:graphicFrame macro="">
      <xdr:nvGraphicFramePr>
        <xdr:cNvPr id="622753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145</xdr:row>
      <xdr:rowOff>180975</xdr:rowOff>
    </xdr:from>
    <xdr:to>
      <xdr:col>1</xdr:col>
      <xdr:colOff>28575</xdr:colOff>
      <xdr:row>145</xdr:row>
      <xdr:rowOff>190500</xdr:rowOff>
    </xdr:to>
    <xdr:sp macro="" textlink="">
      <xdr:nvSpPr>
        <xdr:cNvPr id="62275312" name="Line 8"/>
        <xdr:cNvSpPr>
          <a:spLocks noChangeShapeType="1"/>
        </xdr:cNvSpPr>
      </xdr:nvSpPr>
      <xdr:spPr bwMode="auto">
        <a:xfrm flipV="1">
          <a:off x="2495550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145</xdr:row>
      <xdr:rowOff>180975</xdr:rowOff>
    </xdr:from>
    <xdr:to>
      <xdr:col>1</xdr:col>
      <xdr:colOff>28575</xdr:colOff>
      <xdr:row>145</xdr:row>
      <xdr:rowOff>190500</xdr:rowOff>
    </xdr:to>
    <xdr:sp macro="" textlink="">
      <xdr:nvSpPr>
        <xdr:cNvPr id="62275313" name="Line 19"/>
        <xdr:cNvSpPr>
          <a:spLocks noChangeShapeType="1"/>
        </xdr:cNvSpPr>
      </xdr:nvSpPr>
      <xdr:spPr bwMode="auto">
        <a:xfrm flipV="1">
          <a:off x="2495550" y="3766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4" name="Line 22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5" name="Line 25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152</xdr:row>
      <xdr:rowOff>180975</xdr:rowOff>
    </xdr:from>
    <xdr:to>
      <xdr:col>1</xdr:col>
      <xdr:colOff>28575</xdr:colOff>
      <xdr:row>152</xdr:row>
      <xdr:rowOff>190500</xdr:rowOff>
    </xdr:to>
    <xdr:sp macro="" textlink="">
      <xdr:nvSpPr>
        <xdr:cNvPr id="62275316" name="Line 28"/>
        <xdr:cNvSpPr>
          <a:spLocks noChangeShapeType="1"/>
        </xdr:cNvSpPr>
      </xdr:nvSpPr>
      <xdr:spPr bwMode="auto">
        <a:xfrm flipV="1">
          <a:off x="2495550" y="3884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180975</xdr:colOff>
      <xdr:row>4</xdr:row>
      <xdr:rowOff>0</xdr:rowOff>
    </xdr:from>
    <xdr:to>
      <xdr:col>11</xdr:col>
      <xdr:colOff>257175</xdr:colOff>
      <xdr:row>5</xdr:row>
      <xdr:rowOff>19050</xdr:rowOff>
    </xdr:to>
    <xdr:sp macro="" textlink="">
      <xdr:nvSpPr>
        <xdr:cNvPr id="49455012" name="Text Box 20"/>
        <xdr:cNvSpPr txBox="1">
          <a:spLocks noChangeArrowheads="1"/>
        </xdr:cNvSpPr>
      </xdr:nvSpPr>
      <xdr:spPr bwMode="auto">
        <a:xfrm>
          <a:off x="6934200" y="162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6</xdr:row>
      <xdr:rowOff>161925</xdr:rowOff>
    </xdr:from>
    <xdr:to>
      <xdr:col>11</xdr:col>
      <xdr:colOff>257175</xdr:colOff>
      <xdr:row>7</xdr:row>
      <xdr:rowOff>85725</xdr:rowOff>
    </xdr:to>
    <xdr:sp macro="" textlink="">
      <xdr:nvSpPr>
        <xdr:cNvPr id="49455013" name="Text Box 40"/>
        <xdr:cNvSpPr txBox="1">
          <a:spLocks noChangeArrowheads="1"/>
        </xdr:cNvSpPr>
      </xdr:nvSpPr>
      <xdr:spPr bwMode="auto">
        <a:xfrm>
          <a:off x="6934200" y="2286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180975</xdr:colOff>
      <xdr:row>5</xdr:row>
      <xdr:rowOff>161925</xdr:rowOff>
    </xdr:from>
    <xdr:to>
      <xdr:col>11</xdr:col>
      <xdr:colOff>257175</xdr:colOff>
      <xdr:row>6</xdr:row>
      <xdr:rowOff>85725</xdr:rowOff>
    </xdr:to>
    <xdr:sp macro="" textlink="">
      <xdr:nvSpPr>
        <xdr:cNvPr id="49455014" name="Text Box 40"/>
        <xdr:cNvSpPr txBox="1">
          <a:spLocks noChangeArrowheads="1"/>
        </xdr:cNvSpPr>
      </xdr:nvSpPr>
      <xdr:spPr bwMode="auto">
        <a:xfrm>
          <a:off x="6934200" y="19716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13</xdr:col>
      <xdr:colOff>9525</xdr:colOff>
      <xdr:row>21</xdr:row>
      <xdr:rowOff>0</xdr:rowOff>
    </xdr:to>
    <xdr:graphicFrame macro="">
      <xdr:nvGraphicFramePr>
        <xdr:cNvPr id="6633993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4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21</xdr:row>
      <xdr:rowOff>0</xdr:rowOff>
    </xdr:from>
    <xdr:to>
      <xdr:col>12</xdr:col>
      <xdr:colOff>9525</xdr:colOff>
      <xdr:row>21</xdr:row>
      <xdr:rowOff>0</xdr:rowOff>
    </xdr:to>
    <xdr:graphicFrame macro="">
      <xdr:nvGraphicFramePr>
        <xdr:cNvPr id="66339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1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2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2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2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2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2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2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2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3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3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3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3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3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4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4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4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4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3</xdr:col>
      <xdr:colOff>600075</xdr:colOff>
      <xdr:row>21</xdr:row>
      <xdr:rowOff>0</xdr:rowOff>
    </xdr:to>
    <xdr:graphicFrame macro="">
      <xdr:nvGraphicFramePr>
        <xdr:cNvPr id="6575094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0</xdr:colOff>
      <xdr:row>21</xdr:row>
      <xdr:rowOff>0</xdr:rowOff>
    </xdr:from>
    <xdr:to>
      <xdr:col>6</xdr:col>
      <xdr:colOff>561975</xdr:colOff>
      <xdr:row>21</xdr:row>
      <xdr:rowOff>0</xdr:rowOff>
    </xdr:to>
    <xdr:graphicFrame macro="">
      <xdr:nvGraphicFramePr>
        <xdr:cNvPr id="6575094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9525</xdr:colOff>
      <xdr:row>21</xdr:row>
      <xdr:rowOff>0</xdr:rowOff>
    </xdr:to>
    <xdr:graphicFrame macro="">
      <xdr:nvGraphicFramePr>
        <xdr:cNvPr id="657509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0</xdr:colOff>
      <xdr:row>21</xdr:row>
      <xdr:rowOff>0</xdr:rowOff>
    </xdr:to>
    <xdr:graphicFrame macro="">
      <xdr:nvGraphicFramePr>
        <xdr:cNvPr id="6575095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19050</xdr:colOff>
      <xdr:row>21</xdr:row>
      <xdr:rowOff>0</xdr:rowOff>
    </xdr:from>
    <xdr:to>
      <xdr:col>8</xdr:col>
      <xdr:colOff>561975</xdr:colOff>
      <xdr:row>21</xdr:row>
      <xdr:rowOff>0</xdr:rowOff>
    </xdr:to>
    <xdr:graphicFrame macro="">
      <xdr:nvGraphicFramePr>
        <xdr:cNvPr id="6575095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graphicFrame macro="">
      <xdr:nvGraphicFramePr>
        <xdr:cNvPr id="42366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0</xdr:rowOff>
    </xdr:from>
    <xdr:to>
      <xdr:col>7</xdr:col>
      <xdr:colOff>314325</xdr:colOff>
      <xdr:row>2</xdr:row>
      <xdr:rowOff>28575</xdr:rowOff>
    </xdr:to>
    <xdr:pic>
      <xdr:nvPicPr>
        <xdr:cNvPr id="50524453" name="Picture 1" descr="c chonhor121.bmp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%20otgoo/Taniltsuulga/2012%20on/28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Sarangerel/CPI%202011.10/HSES-2010_food_exp_aimag-bayara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Sarangerel/CPI%202011.10/HSES-2010_Non-food_exp_(sar+year)_aima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Sarangerel/CPI%202011.10/Copy%20of%20HSES-2010_Non-food_exp_(sar+year)_aimag11111111111111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hange_server\MEZSG\PUBLIC\Bayarsaikhan\HSES-2010_Non-food_exp_(sar+year)_aimaglast-bayara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%20otgoo/Documents%20and%20Settings/d/Desktop/&#246;&#253;&#246;&#248;&#253;&#2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elesen/sherelesen/28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elesen/28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%20otgoo/Taniltsuulga/2012%20on/TG-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elesen/sherelesen/Taniltsuulga/2010%20on/TG-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elesen/STAT-DD/MYDOCU~1/TG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un%20am%20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elesen/STAT-DD/MYDOCU~1/21-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%20otgoo/MYDOCU~1/22-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ional_sar"/>
      <sheetName val="aimag_Urjver_12"/>
      <sheetName val="20"/>
      <sheetName val="aimag_Niilber_sa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P7">
            <v>118604.13500000001</v>
          </cell>
        </row>
        <row r="8">
          <cell r="P8">
            <v>104019.86899999999</v>
          </cell>
        </row>
        <row r="9">
          <cell r="P9">
            <v>1387.1388300000001</v>
          </cell>
        </row>
        <row r="10">
          <cell r="P10">
            <v>97932.222000000009</v>
          </cell>
        </row>
        <row r="11">
          <cell r="P11">
            <v>10911.222600000001</v>
          </cell>
        </row>
        <row r="12">
          <cell r="P12">
            <v>13.900358000000001</v>
          </cell>
        </row>
        <row r="13">
          <cell r="P13">
            <v>4775.4783000000007</v>
          </cell>
        </row>
        <row r="14">
          <cell r="P14">
            <v>17552.189000000002</v>
          </cell>
        </row>
        <row r="15">
          <cell r="P15">
            <v>74601.668999999994</v>
          </cell>
        </row>
        <row r="16">
          <cell r="P16">
            <v>7879.3350300000002</v>
          </cell>
        </row>
        <row r="17">
          <cell r="P17">
            <v>4645.1257999999998</v>
          </cell>
        </row>
        <row r="18">
          <cell r="P18">
            <v>2120.4129780000003</v>
          </cell>
        </row>
        <row r="19">
          <cell r="P19">
            <v>1977.4474499999999</v>
          </cell>
        </row>
        <row r="20">
          <cell r="P20">
            <v>1869.2816</v>
          </cell>
        </row>
        <row r="21">
          <cell r="P21">
            <v>1572.5452300000002</v>
          </cell>
        </row>
        <row r="22">
          <cell r="P22">
            <v>110236.07800000001</v>
          </cell>
        </row>
        <row r="23">
          <cell r="P23">
            <v>166659.87700000001</v>
          </cell>
        </row>
        <row r="24">
          <cell r="P24">
            <v>5602.5505199999998</v>
          </cell>
        </row>
        <row r="25">
          <cell r="P25">
            <v>62361.733350000002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1117.7083</v>
          </cell>
        </row>
        <row r="29">
          <cell r="P29">
            <v>938.08690000000001</v>
          </cell>
        </row>
        <row r="30">
          <cell r="P30">
            <v>0</v>
          </cell>
        </row>
        <row r="31">
          <cell r="P31">
            <v>173.79259999999999</v>
          </cell>
        </row>
        <row r="32">
          <cell r="P32">
            <v>0</v>
          </cell>
        </row>
        <row r="33">
          <cell r="P33">
            <v>25871.2991</v>
          </cell>
        </row>
        <row r="34">
          <cell r="P34">
            <v>31059.157799999997</v>
          </cell>
        </row>
        <row r="35">
          <cell r="P35">
            <v>1006.6210000000001</v>
          </cell>
        </row>
        <row r="36">
          <cell r="P36">
            <v>2082.3019000000004</v>
          </cell>
        </row>
        <row r="37">
          <cell r="P37">
            <v>8225.9909000000007</v>
          </cell>
        </row>
        <row r="38">
          <cell r="P38">
            <v>957.33175000000006</v>
          </cell>
        </row>
        <row r="39">
          <cell r="P39">
            <v>0</v>
          </cell>
        </row>
        <row r="40">
          <cell r="P40">
            <v>106.1335</v>
          </cell>
        </row>
        <row r="41">
          <cell r="P41">
            <v>0</v>
          </cell>
        </row>
        <row r="42">
          <cell r="P42">
            <v>95374.732999999993</v>
          </cell>
        </row>
        <row r="43">
          <cell r="P43">
            <v>8167.4764999999998</v>
          </cell>
        </row>
        <row r="44">
          <cell r="P44">
            <v>12366.866999999998</v>
          </cell>
        </row>
        <row r="45">
          <cell r="P45">
            <v>1205.85437</v>
          </cell>
        </row>
        <row r="46">
          <cell r="P46">
            <v>130.7987</v>
          </cell>
        </row>
        <row r="47">
          <cell r="P47">
            <v>1737.8202509999999</v>
          </cell>
        </row>
        <row r="48">
          <cell r="P48">
            <v>455.92860000000002</v>
          </cell>
        </row>
        <row r="49">
          <cell r="P49">
            <v>44.976509999999998</v>
          </cell>
        </row>
        <row r="50">
          <cell r="P50">
            <v>161.77819</v>
          </cell>
        </row>
        <row r="51">
          <cell r="P51">
            <v>436.66289</v>
          </cell>
        </row>
        <row r="52">
          <cell r="P52">
            <v>19027.224739999998</v>
          </cell>
        </row>
        <row r="53">
          <cell r="P53">
            <v>2344.1120000000001</v>
          </cell>
        </row>
        <row r="54">
          <cell r="P54">
            <v>400.59654</v>
          </cell>
        </row>
        <row r="55">
          <cell r="P55">
            <v>0</v>
          </cell>
        </row>
        <row r="56">
          <cell r="P56">
            <v>1785.257969</v>
          </cell>
        </row>
        <row r="57">
          <cell r="P57">
            <v>34694.091999999997</v>
          </cell>
        </row>
        <row r="58">
          <cell r="P58">
            <v>0</v>
          </cell>
        </row>
        <row r="59">
          <cell r="P59">
            <v>42645.700999999994</v>
          </cell>
        </row>
        <row r="60">
          <cell r="P60">
            <v>825.57339000000002</v>
          </cell>
        </row>
        <row r="61">
          <cell r="P61">
            <v>1521.26703</v>
          </cell>
        </row>
        <row r="62">
          <cell r="P62">
            <v>3055.7182280000002</v>
          </cell>
        </row>
        <row r="63">
          <cell r="P63">
            <v>0</v>
          </cell>
        </row>
        <row r="64">
          <cell r="P64">
            <v>546.28729999999996</v>
          </cell>
        </row>
        <row r="65">
          <cell r="P65">
            <v>19010.975900000005</v>
          </cell>
        </row>
        <row r="66">
          <cell r="P66">
            <v>5257.5532000000003</v>
          </cell>
        </row>
        <row r="67">
          <cell r="P67">
            <v>2880.4218999999998</v>
          </cell>
        </row>
        <row r="68">
          <cell r="P68">
            <v>3355.76</v>
          </cell>
        </row>
        <row r="69">
          <cell r="P69">
            <v>1862.93588</v>
          </cell>
        </row>
        <row r="70">
          <cell r="P70">
            <v>1513.4155000000001</v>
          </cell>
        </row>
        <row r="71">
          <cell r="P71">
            <v>85.489040000000003</v>
          </cell>
        </row>
        <row r="72">
          <cell r="P72">
            <v>403.23334999999997</v>
          </cell>
        </row>
        <row r="73">
          <cell r="P73">
            <v>4155.2812400000003</v>
          </cell>
        </row>
        <row r="74">
          <cell r="P74">
            <v>103613.178</v>
          </cell>
        </row>
        <row r="75">
          <cell r="P75">
            <v>23315.171999999999</v>
          </cell>
        </row>
        <row r="76">
          <cell r="P76">
            <v>11098.325400000002</v>
          </cell>
        </row>
        <row r="77">
          <cell r="P77">
            <v>695.35801200000003</v>
          </cell>
        </row>
        <row r="78">
          <cell r="P78">
            <v>27848.512999999995</v>
          </cell>
        </row>
        <row r="79">
          <cell r="P79">
            <v>5078.0718299999999</v>
          </cell>
        </row>
        <row r="80">
          <cell r="P80">
            <v>1915.2037600000001</v>
          </cell>
        </row>
        <row r="81">
          <cell r="P81">
            <v>2256.0857300000002</v>
          </cell>
        </row>
        <row r="82">
          <cell r="P82">
            <v>2526.8588699999996</v>
          </cell>
        </row>
        <row r="83">
          <cell r="P83">
            <v>2536.6316699999998</v>
          </cell>
        </row>
        <row r="84">
          <cell r="P84">
            <v>5121.8639700000003</v>
          </cell>
        </row>
        <row r="85">
          <cell r="P85">
            <v>3732.0990710000001</v>
          </cell>
        </row>
        <row r="86">
          <cell r="P86">
            <v>654.88422000000003</v>
          </cell>
        </row>
        <row r="87">
          <cell r="P87">
            <v>1250.6400102</v>
          </cell>
        </row>
        <row r="88">
          <cell r="P88">
            <v>40510.810999999994</v>
          </cell>
        </row>
        <row r="89">
          <cell r="P89">
            <v>1569.5308610000002</v>
          </cell>
        </row>
        <row r="90">
          <cell r="P90">
            <v>0</v>
          </cell>
        </row>
        <row r="91">
          <cell r="P91">
            <v>21053.839799999998</v>
          </cell>
        </row>
        <row r="92">
          <cell r="P92">
            <v>18625.266599999999</v>
          </cell>
        </row>
        <row r="93">
          <cell r="P93">
            <v>7006.3289800000002</v>
          </cell>
        </row>
        <row r="94">
          <cell r="P94">
            <v>7074.6240999999982</v>
          </cell>
        </row>
        <row r="95">
          <cell r="P95">
            <v>3703.9730000000004</v>
          </cell>
        </row>
        <row r="96">
          <cell r="P96">
            <v>12263.332559999997</v>
          </cell>
        </row>
        <row r="97">
          <cell r="P97">
            <v>8974.6343500000003</v>
          </cell>
        </row>
        <row r="98">
          <cell r="P98">
            <v>3106.6638199999998</v>
          </cell>
        </row>
        <row r="99">
          <cell r="P99">
            <v>34.217570000000002</v>
          </cell>
        </row>
        <row r="100">
          <cell r="P100">
            <v>792.81158500000004</v>
          </cell>
        </row>
        <row r="101">
          <cell r="P101">
            <v>6733.7966000000006</v>
          </cell>
        </row>
        <row r="102">
          <cell r="P102">
            <v>914.06659000000013</v>
          </cell>
        </row>
        <row r="103">
          <cell r="P103">
            <v>3670.9919000000004</v>
          </cell>
        </row>
        <row r="104">
          <cell r="P104">
            <v>7343.5076500000005</v>
          </cell>
        </row>
        <row r="105">
          <cell r="P105">
            <v>1419.2385800000002</v>
          </cell>
        </row>
        <row r="106">
          <cell r="P106">
            <v>14897.177099999999</v>
          </cell>
        </row>
        <row r="107">
          <cell r="P107">
            <v>2220.87041</v>
          </cell>
        </row>
        <row r="108">
          <cell r="P108">
            <v>2637.5197800000001</v>
          </cell>
        </row>
        <row r="109">
          <cell r="P109">
            <v>16532.595000000001</v>
          </cell>
        </row>
        <row r="110">
          <cell r="P110">
            <v>7134.3281000000006</v>
          </cell>
        </row>
        <row r="111">
          <cell r="P111">
            <v>613.25787800000001</v>
          </cell>
        </row>
        <row r="112">
          <cell r="P112">
            <v>0</v>
          </cell>
        </row>
        <row r="113">
          <cell r="P113">
            <v>329.28414000000004</v>
          </cell>
        </row>
        <row r="114">
          <cell r="P114">
            <v>10644.715800000002</v>
          </cell>
        </row>
        <row r="115">
          <cell r="P115">
            <v>12459.174769999998</v>
          </cell>
        </row>
        <row r="116">
          <cell r="P116">
            <v>878.65107999999998</v>
          </cell>
        </row>
        <row r="117">
          <cell r="P117">
            <v>803.98412000000008</v>
          </cell>
        </row>
        <row r="118">
          <cell r="P118">
            <v>55530.910100000001</v>
          </cell>
        </row>
        <row r="119">
          <cell r="P119">
            <v>4226.6749</v>
          </cell>
        </row>
        <row r="120">
          <cell r="P120">
            <v>327.60719999999998</v>
          </cell>
        </row>
        <row r="121">
          <cell r="P121">
            <v>0</v>
          </cell>
        </row>
        <row r="122">
          <cell r="P122">
            <v>3261.5319</v>
          </cell>
        </row>
        <row r="123">
          <cell r="P123">
            <v>0</v>
          </cell>
        </row>
        <row r="124">
          <cell r="P124">
            <v>4354.6472000000003</v>
          </cell>
        </row>
        <row r="125">
          <cell r="P125">
            <v>49137.97600000001</v>
          </cell>
        </row>
        <row r="126">
          <cell r="P126">
            <v>8961.1420500000004</v>
          </cell>
        </row>
        <row r="127">
          <cell r="P127">
            <v>0</v>
          </cell>
        </row>
        <row r="128">
          <cell r="P128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Aimag_Urjver_12"/>
      <sheetName val="Aimag_Niilber_Sa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P8">
            <v>9793.658300000001</v>
          </cell>
        </row>
        <row r="9">
          <cell r="P9">
            <v>5198.8017300000001</v>
          </cell>
        </row>
        <row r="10">
          <cell r="P10">
            <v>25574.901300000001</v>
          </cell>
        </row>
        <row r="11">
          <cell r="P11">
            <v>16319.392699999999</v>
          </cell>
        </row>
        <row r="12">
          <cell r="P12">
            <v>13272.956859999998</v>
          </cell>
        </row>
        <row r="13">
          <cell r="P13">
            <v>25307.029820000003</v>
          </cell>
        </row>
        <row r="14">
          <cell r="P14">
            <v>11173.712599999999</v>
          </cell>
        </row>
        <row r="15">
          <cell r="P15">
            <v>7663.732500000001</v>
          </cell>
        </row>
        <row r="16">
          <cell r="P16">
            <v>11132.372600000001</v>
          </cell>
        </row>
        <row r="17">
          <cell r="P17">
            <v>10589.366299999998</v>
          </cell>
        </row>
        <row r="18">
          <cell r="P18">
            <v>62161.023000000001</v>
          </cell>
        </row>
        <row r="19">
          <cell r="P19">
            <v>14723.065900000001</v>
          </cell>
        </row>
        <row r="20">
          <cell r="P20">
            <v>15915.074699999997</v>
          </cell>
        </row>
        <row r="21">
          <cell r="P21">
            <v>11923.245999999999</v>
          </cell>
        </row>
        <row r="22">
          <cell r="P22">
            <v>347.06614599999995</v>
          </cell>
        </row>
        <row r="23">
          <cell r="P23">
            <v>1513.5503369999997</v>
          </cell>
        </row>
        <row r="24">
          <cell r="P24">
            <v>3527.8956600000001</v>
          </cell>
        </row>
        <row r="25">
          <cell r="P25">
            <v>18908.784600000003</v>
          </cell>
        </row>
        <row r="26">
          <cell r="P26">
            <v>27796.234700000001</v>
          </cell>
        </row>
        <row r="27">
          <cell r="P27">
            <v>17522.8213</v>
          </cell>
        </row>
        <row r="28">
          <cell r="P28">
            <v>6345.6453899999997</v>
          </cell>
        </row>
        <row r="29">
          <cell r="P29">
            <v>22605.984899999999</v>
          </cell>
        </row>
        <row r="30">
          <cell r="P30">
            <v>12141.121000000003</v>
          </cell>
        </row>
        <row r="31">
          <cell r="P31">
            <v>7630.3208000000013</v>
          </cell>
        </row>
        <row r="32">
          <cell r="P32">
            <v>10488.2358</v>
          </cell>
        </row>
        <row r="33">
          <cell r="P33">
            <v>10816.894199999999</v>
          </cell>
        </row>
        <row r="34">
          <cell r="P34">
            <v>17069.207400000003</v>
          </cell>
        </row>
        <row r="35">
          <cell r="P35">
            <v>48618.07</v>
          </cell>
        </row>
        <row r="36">
          <cell r="P36">
            <v>17498.736500000003</v>
          </cell>
        </row>
        <row r="37">
          <cell r="P37">
            <v>21207.159</v>
          </cell>
        </row>
        <row r="38">
          <cell r="P38">
            <v>10263.611500000001</v>
          </cell>
        </row>
        <row r="39">
          <cell r="P39">
            <v>5407.4847999999993</v>
          </cell>
        </row>
        <row r="40">
          <cell r="P40">
            <v>6189.4824099999996</v>
          </cell>
        </row>
        <row r="41">
          <cell r="P41">
            <v>23.135539999999999</v>
          </cell>
        </row>
        <row r="42">
          <cell r="P42">
            <v>1625.43381</v>
          </cell>
        </row>
        <row r="43">
          <cell r="P43">
            <v>17170.111799999999</v>
          </cell>
        </row>
        <row r="44">
          <cell r="P44">
            <v>6606.7647999999999</v>
          </cell>
        </row>
        <row r="45">
          <cell r="P45">
            <v>1452.77475</v>
          </cell>
        </row>
        <row r="46">
          <cell r="P46">
            <v>7473.1781000000001</v>
          </cell>
        </row>
        <row r="47">
          <cell r="P47">
            <v>5760.679000000001</v>
          </cell>
        </row>
        <row r="48">
          <cell r="P48">
            <v>841.65996999999982</v>
          </cell>
        </row>
        <row r="49">
          <cell r="P49">
            <v>4241.6569799999997</v>
          </cell>
        </row>
        <row r="50">
          <cell r="P50">
            <v>8332.7309000000005</v>
          </cell>
        </row>
        <row r="51">
          <cell r="P51">
            <v>5308.6440999999995</v>
          </cell>
        </row>
        <row r="52">
          <cell r="P52">
            <v>24435.168499999996</v>
          </cell>
        </row>
        <row r="53">
          <cell r="P53">
            <v>5867.93</v>
          </cell>
        </row>
        <row r="54">
          <cell r="P54">
            <v>5258.6859999999997</v>
          </cell>
        </row>
        <row r="55">
          <cell r="P55">
            <v>3717.5176999999999</v>
          </cell>
        </row>
        <row r="56">
          <cell r="P56">
            <v>2263.4908299999997</v>
          </cell>
        </row>
        <row r="57">
          <cell r="P57">
            <v>4522.1922299999987</v>
          </cell>
        </row>
        <row r="58">
          <cell r="P58">
            <v>8939.7041299999983</v>
          </cell>
        </row>
        <row r="59">
          <cell r="P59">
            <v>2679.1168900000002</v>
          </cell>
        </row>
        <row r="60">
          <cell r="P60">
            <v>3870.6371300000001</v>
          </cell>
        </row>
        <row r="61">
          <cell r="P61">
            <v>1837.0242700000001</v>
          </cell>
        </row>
        <row r="62">
          <cell r="P62">
            <v>1262.67003</v>
          </cell>
        </row>
        <row r="63">
          <cell r="P63">
            <v>1453.6296099999997</v>
          </cell>
        </row>
        <row r="64">
          <cell r="P64">
            <v>702.24481300000002</v>
          </cell>
        </row>
        <row r="65">
          <cell r="P65">
            <v>262.70069999999998</v>
          </cell>
        </row>
        <row r="66">
          <cell r="P66">
            <v>344.49476000000004</v>
          </cell>
        </row>
        <row r="67">
          <cell r="P67">
            <v>72.955439999999996</v>
          </cell>
        </row>
        <row r="68">
          <cell r="P68">
            <v>126.040693</v>
          </cell>
        </row>
        <row r="69">
          <cell r="P69">
            <v>1159.895</v>
          </cell>
        </row>
        <row r="70">
          <cell r="P70">
            <v>76789.95</v>
          </cell>
        </row>
        <row r="71">
          <cell r="P71">
            <v>45957.389300000003</v>
          </cell>
        </row>
        <row r="72">
          <cell r="P72">
            <v>22551.616500000004</v>
          </cell>
        </row>
        <row r="73">
          <cell r="P73">
            <v>11150.007609999999</v>
          </cell>
        </row>
        <row r="74">
          <cell r="P74">
            <v>25743.703499999996</v>
          </cell>
        </row>
        <row r="75">
          <cell r="P75">
            <v>46460.913999999997</v>
          </cell>
        </row>
        <row r="76">
          <cell r="P76">
            <v>5083.2708000000002</v>
          </cell>
        </row>
        <row r="77">
          <cell r="P77">
            <v>10135.245870000001</v>
          </cell>
        </row>
        <row r="78">
          <cell r="P78">
            <v>12852.411829999997</v>
          </cell>
        </row>
        <row r="79">
          <cell r="P79">
            <v>4377.4551600000004</v>
          </cell>
        </row>
        <row r="80">
          <cell r="P80">
            <v>7226.7544999999991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3206.7919700000002</v>
          </cell>
        </row>
        <row r="84">
          <cell r="P84">
            <v>497.73324000000002</v>
          </cell>
        </row>
        <row r="85">
          <cell r="P85">
            <v>0</v>
          </cell>
        </row>
        <row r="86">
          <cell r="P86">
            <v>3539.7228020000002</v>
          </cell>
        </row>
        <row r="87">
          <cell r="P87">
            <v>1865.4640360000003</v>
          </cell>
        </row>
        <row r="88">
          <cell r="P88">
            <v>21690.778599999998</v>
          </cell>
        </row>
        <row r="89">
          <cell r="P89">
            <v>21.907260000000001</v>
          </cell>
        </row>
        <row r="90">
          <cell r="P90">
            <v>332.10314599999998</v>
          </cell>
        </row>
        <row r="91">
          <cell r="P91">
            <v>4112.4779600000002</v>
          </cell>
        </row>
        <row r="92">
          <cell r="P92">
            <v>1300.7490469999996</v>
          </cell>
        </row>
        <row r="93">
          <cell r="P93">
            <v>1949.1068</v>
          </cell>
        </row>
        <row r="94">
          <cell r="P94">
            <v>2739.74</v>
          </cell>
        </row>
        <row r="95">
          <cell r="P95">
            <v>20298.169999999998</v>
          </cell>
        </row>
        <row r="96">
          <cell r="P96">
            <v>3170.6463400000002</v>
          </cell>
        </row>
        <row r="97">
          <cell r="P97">
            <v>2331.2139999999999</v>
          </cell>
        </row>
        <row r="98">
          <cell r="P98">
            <v>1.589567</v>
          </cell>
        </row>
        <row r="99">
          <cell r="P99">
            <v>2564.78539</v>
          </cell>
        </row>
        <row r="100">
          <cell r="P100">
            <v>7.630681</v>
          </cell>
        </row>
        <row r="101">
          <cell r="P101">
            <v>5137.1450999999997</v>
          </cell>
        </row>
        <row r="102">
          <cell r="P102">
            <v>0</v>
          </cell>
        </row>
        <row r="103">
          <cell r="P103">
            <v>1115.309</v>
          </cell>
        </row>
        <row r="104">
          <cell r="P104">
            <v>131.427378</v>
          </cell>
        </row>
        <row r="105">
          <cell r="P105">
            <v>341.378918</v>
          </cell>
        </row>
        <row r="106">
          <cell r="P106">
            <v>210.8732</v>
          </cell>
        </row>
        <row r="107">
          <cell r="P107">
            <v>1978.89608</v>
          </cell>
        </row>
        <row r="108">
          <cell r="P108">
            <v>0</v>
          </cell>
        </row>
        <row r="109">
          <cell r="P109">
            <v>6115.148000000001</v>
          </cell>
        </row>
        <row r="110">
          <cell r="P110">
            <v>2938.2123999999999</v>
          </cell>
        </row>
        <row r="111">
          <cell r="P111">
            <v>13669.980100000001</v>
          </cell>
        </row>
        <row r="112">
          <cell r="P112">
            <v>39229.085699999996</v>
          </cell>
        </row>
        <row r="113">
          <cell r="P113">
            <v>14.49869</v>
          </cell>
        </row>
        <row r="114">
          <cell r="P114">
            <v>0</v>
          </cell>
        </row>
        <row r="115">
          <cell r="P115">
            <v>4659.5479999999998</v>
          </cell>
        </row>
        <row r="116">
          <cell r="P116">
            <v>14277.430000000002</v>
          </cell>
        </row>
        <row r="117">
          <cell r="P117">
            <v>3100.0823999999998</v>
          </cell>
        </row>
        <row r="118">
          <cell r="P118">
            <v>9475.3186000000005</v>
          </cell>
        </row>
        <row r="119">
          <cell r="P119">
            <v>2205.4681399999999</v>
          </cell>
        </row>
        <row r="120">
          <cell r="P120">
            <v>4468.2730699999993</v>
          </cell>
        </row>
        <row r="121">
          <cell r="P121">
            <v>564.15574800000002</v>
          </cell>
        </row>
        <row r="122">
          <cell r="P122">
            <v>0</v>
          </cell>
        </row>
        <row r="123">
          <cell r="P123">
            <v>15645.504500000001</v>
          </cell>
        </row>
        <row r="124">
          <cell r="P124">
            <v>3381.8517999999995</v>
          </cell>
        </row>
        <row r="125">
          <cell r="P125">
            <v>3922.9628000000002</v>
          </cell>
        </row>
        <row r="126">
          <cell r="P126">
            <v>474.27870000000001</v>
          </cell>
        </row>
        <row r="127">
          <cell r="P127">
            <v>130.69138000000001</v>
          </cell>
        </row>
        <row r="128">
          <cell r="P128">
            <v>5274.9040000000005</v>
          </cell>
        </row>
        <row r="129">
          <cell r="P129">
            <v>0</v>
          </cell>
        </row>
        <row r="130">
          <cell r="P130">
            <v>195.40970000000002</v>
          </cell>
        </row>
        <row r="131">
          <cell r="P131">
            <v>527.88847999999996</v>
          </cell>
        </row>
        <row r="132">
          <cell r="P132">
            <v>2736.9820700000005</v>
          </cell>
        </row>
        <row r="133">
          <cell r="P133">
            <v>0</v>
          </cell>
        </row>
        <row r="134">
          <cell r="P134">
            <v>1003.8874300000001</v>
          </cell>
        </row>
        <row r="135">
          <cell r="P135">
            <v>0</v>
          </cell>
        </row>
        <row r="136">
          <cell r="P136">
            <v>51.20823</v>
          </cell>
        </row>
        <row r="137">
          <cell r="P137">
            <v>4463.4248099999995</v>
          </cell>
        </row>
        <row r="138">
          <cell r="P138">
            <v>272.13420000000002</v>
          </cell>
        </row>
        <row r="139">
          <cell r="P139">
            <v>2772.4325599999997</v>
          </cell>
        </row>
        <row r="140">
          <cell r="P140">
            <v>235.87438</v>
          </cell>
        </row>
        <row r="141">
          <cell r="P141">
            <v>213.11940000000001</v>
          </cell>
        </row>
        <row r="142">
          <cell r="P142">
            <v>2451.2852900000003</v>
          </cell>
        </row>
        <row r="143">
          <cell r="P143">
            <v>4198.2340199999999</v>
          </cell>
        </row>
        <row r="144">
          <cell r="P144">
            <v>2218.2219599999999</v>
          </cell>
        </row>
        <row r="145">
          <cell r="P145">
            <v>743.69900400000006</v>
          </cell>
        </row>
        <row r="146">
          <cell r="P146">
            <v>1602.99702</v>
          </cell>
        </row>
        <row r="147">
          <cell r="P147">
            <v>1936.506179</v>
          </cell>
        </row>
        <row r="148">
          <cell r="P148">
            <v>839.14889000000005</v>
          </cell>
        </row>
        <row r="149">
          <cell r="P149">
            <v>0</v>
          </cell>
        </row>
        <row r="150">
          <cell r="P150">
            <v>318.5061</v>
          </cell>
        </row>
        <row r="151">
          <cell r="P151">
            <v>255.49935000000002</v>
          </cell>
        </row>
        <row r="152">
          <cell r="P152">
            <v>47.41525</v>
          </cell>
        </row>
        <row r="153">
          <cell r="P153">
            <v>287.03713199999999</v>
          </cell>
        </row>
        <row r="154">
          <cell r="P154">
            <v>1978.264048</v>
          </cell>
        </row>
        <row r="155">
          <cell r="P155">
            <v>2993.3631800000007</v>
          </cell>
        </row>
        <row r="156">
          <cell r="P156">
            <v>2602.6014999999998</v>
          </cell>
        </row>
        <row r="157">
          <cell r="P157">
            <v>37.498609999999999</v>
          </cell>
        </row>
        <row r="158">
          <cell r="P158">
            <v>3568.7274999999995</v>
          </cell>
        </row>
        <row r="159">
          <cell r="P159">
            <v>268.58431999999999</v>
          </cell>
        </row>
        <row r="160">
          <cell r="P160">
            <v>0</v>
          </cell>
        </row>
        <row r="161">
          <cell r="P161">
            <v>136.72102999999998</v>
          </cell>
        </row>
        <row r="162">
          <cell r="P162">
            <v>11.5077</v>
          </cell>
        </row>
        <row r="163">
          <cell r="P163">
            <v>21038.342999999997</v>
          </cell>
        </row>
        <row r="164">
          <cell r="P164">
            <v>23601.271000000001</v>
          </cell>
        </row>
        <row r="165">
          <cell r="P165">
            <v>6810.3422999999993</v>
          </cell>
        </row>
        <row r="166">
          <cell r="P166">
            <v>2729.6299999999997</v>
          </cell>
        </row>
        <row r="167">
          <cell r="P167">
            <v>7016.0598</v>
          </cell>
        </row>
        <row r="168">
          <cell r="P168">
            <v>4957.7291000000005</v>
          </cell>
        </row>
        <row r="169">
          <cell r="P169">
            <v>10577.054599999999</v>
          </cell>
        </row>
        <row r="170">
          <cell r="P170">
            <v>2473.1412599999999</v>
          </cell>
        </row>
        <row r="171">
          <cell r="P171">
            <v>639.99042999999995</v>
          </cell>
        </row>
        <row r="172">
          <cell r="P172">
            <v>288.78444200000001</v>
          </cell>
        </row>
        <row r="173">
          <cell r="P173">
            <v>272.20281199999999</v>
          </cell>
        </row>
        <row r="174">
          <cell r="P174">
            <v>298.58515</v>
          </cell>
        </row>
        <row r="175">
          <cell r="P175">
            <v>509.31205500000004</v>
          </cell>
        </row>
        <row r="176">
          <cell r="P176">
            <v>5572.9920999999995</v>
          </cell>
        </row>
        <row r="177">
          <cell r="P177">
            <v>721.22824199999991</v>
          </cell>
        </row>
        <row r="179">
          <cell r="P179">
            <v>273.26447100000001</v>
          </cell>
        </row>
        <row r="180">
          <cell r="P180">
            <v>12.082240000000001</v>
          </cell>
        </row>
        <row r="181">
          <cell r="P181">
            <v>0</v>
          </cell>
        </row>
        <row r="182">
          <cell r="P182">
            <v>94691.059999999983</v>
          </cell>
        </row>
        <row r="183">
          <cell r="P183">
            <v>25780.931800000002</v>
          </cell>
        </row>
        <row r="184">
          <cell r="P184">
            <v>1138.9789750000002</v>
          </cell>
        </row>
        <row r="185">
          <cell r="P185">
            <v>542.93552899999997</v>
          </cell>
        </row>
        <row r="186">
          <cell r="P186">
            <v>0</v>
          </cell>
        </row>
        <row r="187">
          <cell r="P187">
            <v>3975.7839999999997</v>
          </cell>
        </row>
        <row r="188">
          <cell r="P188">
            <v>1159.6141079999998</v>
          </cell>
        </row>
        <row r="189">
          <cell r="P189">
            <v>16569.81712</v>
          </cell>
        </row>
        <row r="190">
          <cell r="P190">
            <v>30775.536100000001</v>
          </cell>
        </row>
        <row r="191">
          <cell r="P191">
            <v>131687.85</v>
          </cell>
        </row>
        <row r="194">
          <cell r="P194">
            <v>63589.532999999996</v>
          </cell>
        </row>
        <row r="195">
          <cell r="P195">
            <v>2198.5939000000003</v>
          </cell>
        </row>
        <row r="196">
          <cell r="P196">
            <v>102.4939</v>
          </cell>
        </row>
        <row r="197">
          <cell r="P197">
            <v>3461.3332700000001</v>
          </cell>
        </row>
        <row r="198">
          <cell r="P198">
            <v>13415.91346</v>
          </cell>
        </row>
        <row r="199">
          <cell r="P199">
            <v>46880.610430000001</v>
          </cell>
        </row>
        <row r="200">
          <cell r="P200">
            <v>99139.359699999986</v>
          </cell>
        </row>
        <row r="201">
          <cell r="P201">
            <v>5800.6404000000002</v>
          </cell>
        </row>
        <row r="202">
          <cell r="P202">
            <v>3456.974154</v>
          </cell>
        </row>
        <row r="203">
          <cell r="P203">
            <v>5600.5623999999998</v>
          </cell>
        </row>
        <row r="204">
          <cell r="P204">
            <v>5550.3404599999994</v>
          </cell>
        </row>
        <row r="205">
          <cell r="P205">
            <v>1103.0752500000001</v>
          </cell>
        </row>
        <row r="206">
          <cell r="P206">
            <v>0</v>
          </cell>
        </row>
        <row r="207">
          <cell r="P207">
            <v>5277.7258000000011</v>
          </cell>
        </row>
        <row r="208">
          <cell r="P208">
            <v>330.42169000000001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14314.77758</v>
          </cell>
        </row>
        <row r="212">
          <cell r="P212">
            <v>94218.28</v>
          </cell>
        </row>
        <row r="213">
          <cell r="P213">
            <v>5757.3908200000005</v>
          </cell>
        </row>
        <row r="214">
          <cell r="P214">
            <v>1950.7162000000001</v>
          </cell>
        </row>
        <row r="215">
          <cell r="P215">
            <v>647.55930000000001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610.41390000000001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65216.180600000007</v>
          </cell>
        </row>
        <row r="224">
          <cell r="P224">
            <v>458.06012999999996</v>
          </cell>
        </row>
        <row r="225">
          <cell r="P225">
            <v>832.41039999999998</v>
          </cell>
        </row>
        <row r="226">
          <cell r="P226">
            <v>0</v>
          </cell>
        </row>
        <row r="227">
          <cell r="P227">
            <v>1907.3733999999999</v>
          </cell>
        </row>
        <row r="228">
          <cell r="P228">
            <v>29025.352800000004</v>
          </cell>
        </row>
        <row r="229">
          <cell r="P229">
            <v>0</v>
          </cell>
        </row>
        <row r="230">
          <cell r="P230">
            <v>3196.3939999999998</v>
          </cell>
        </row>
        <row r="231">
          <cell r="P231">
            <v>66.591539999999995</v>
          </cell>
        </row>
        <row r="232">
          <cell r="P232">
            <v>168024.22899999999</v>
          </cell>
        </row>
        <row r="233">
          <cell r="P233">
            <v>1295.5250000000001</v>
          </cell>
        </row>
        <row r="235">
          <cell r="P235">
            <v>381.10930000000002</v>
          </cell>
        </row>
        <row r="236">
          <cell r="P236">
            <v>6049.3941999999997</v>
          </cell>
        </row>
        <row r="239">
          <cell r="P239">
            <v>235.79829999999998</v>
          </cell>
        </row>
        <row r="245">
          <cell r="P245">
            <v>6.5082899999999997</v>
          </cell>
        </row>
        <row r="278">
          <cell r="P278">
            <v>11858.962029999997</v>
          </cell>
        </row>
        <row r="279">
          <cell r="P279">
            <v>12462.606799999998</v>
          </cell>
        </row>
        <row r="280">
          <cell r="P280">
            <v>8478.1668000000009</v>
          </cell>
        </row>
        <row r="281">
          <cell r="P281">
            <v>2682.9942000000001</v>
          </cell>
        </row>
        <row r="282">
          <cell r="P282">
            <v>22520.587000000003</v>
          </cell>
        </row>
        <row r="284">
          <cell r="P284">
            <v>437.82617099999999</v>
          </cell>
        </row>
        <row r="287">
          <cell r="P287">
            <v>2841.6504999999997</v>
          </cell>
        </row>
        <row r="288">
          <cell r="P288">
            <v>1065.6289999999999</v>
          </cell>
        </row>
        <row r="289">
          <cell r="P289">
            <v>0</v>
          </cell>
        </row>
        <row r="290">
          <cell r="P290">
            <v>4685.6403700000001</v>
          </cell>
        </row>
        <row r="291">
          <cell r="P291">
            <v>69679.804000000004</v>
          </cell>
        </row>
        <row r="292">
          <cell r="P292">
            <v>6314.9962000000005</v>
          </cell>
        </row>
        <row r="293">
          <cell r="P293">
            <v>64728.183799999999</v>
          </cell>
        </row>
        <row r="294">
          <cell r="P294">
            <v>9908.8063299999994</v>
          </cell>
        </row>
        <row r="295">
          <cell r="P295">
            <v>20808.240000000002</v>
          </cell>
        </row>
        <row r="296">
          <cell r="P296">
            <v>1554.1420000000001</v>
          </cell>
        </row>
        <row r="297">
          <cell r="P297">
            <v>69484.272930000006</v>
          </cell>
        </row>
        <row r="299">
          <cell r="P299">
            <v>17531.712999999996</v>
          </cell>
        </row>
        <row r="300">
          <cell r="P300">
            <v>19194.724000000002</v>
          </cell>
        </row>
        <row r="301">
          <cell r="P301">
            <v>15989.9085</v>
          </cell>
        </row>
        <row r="302">
          <cell r="P302">
            <v>19197.181</v>
          </cell>
        </row>
        <row r="303">
          <cell r="P303">
            <v>20307.5923</v>
          </cell>
        </row>
        <row r="304">
          <cell r="P304">
            <v>2362.9912600000002</v>
          </cell>
        </row>
        <row r="311">
          <cell r="P311">
            <v>64405.937000000005</v>
          </cell>
        </row>
        <row r="313">
          <cell r="P313">
            <v>24449.333000000002</v>
          </cell>
        </row>
        <row r="314">
          <cell r="P314">
            <v>759.59490000000005</v>
          </cell>
        </row>
        <row r="316">
          <cell r="P316">
            <v>36.572290000000002</v>
          </cell>
        </row>
        <row r="318">
          <cell r="P318">
            <v>3601.6124799999998</v>
          </cell>
        </row>
        <row r="319">
          <cell r="P319">
            <v>8968.4513200000001</v>
          </cell>
        </row>
        <row r="320">
          <cell r="P320">
            <v>924.57793000000004</v>
          </cell>
        </row>
        <row r="321">
          <cell r="P321">
            <v>594.70564000000002</v>
          </cell>
        </row>
        <row r="333">
          <cell r="P333">
            <v>93052.429346999998</v>
          </cell>
        </row>
        <row r="339">
          <cell r="P339">
            <v>23102.879499999999</v>
          </cell>
        </row>
        <row r="340">
          <cell r="P340">
            <v>8046.4301400000004</v>
          </cell>
        </row>
        <row r="341">
          <cell r="P341">
            <v>6764.3082000000013</v>
          </cell>
        </row>
        <row r="342">
          <cell r="P342">
            <v>6940.0963299999994</v>
          </cell>
        </row>
        <row r="343">
          <cell r="P343">
            <v>7425.6513000000004</v>
          </cell>
        </row>
        <row r="344">
          <cell r="P344">
            <v>644.23569999999995</v>
          </cell>
        </row>
        <row r="345">
          <cell r="P345">
            <v>0</v>
          </cell>
        </row>
        <row r="346">
          <cell r="P346">
            <v>16.841290000000001</v>
          </cell>
        </row>
        <row r="349">
          <cell r="P349">
            <v>11861.839400000001</v>
          </cell>
        </row>
        <row r="350">
          <cell r="P350">
            <v>1114.4391000000001</v>
          </cell>
        </row>
        <row r="352">
          <cell r="P352">
            <v>92394.331000000006</v>
          </cell>
        </row>
        <row r="353">
          <cell r="P353">
            <v>55993.794599999994</v>
          </cell>
        </row>
        <row r="354">
          <cell r="P354">
            <v>15658.746100000002</v>
          </cell>
        </row>
        <row r="355">
          <cell r="P355">
            <v>110833.48020000001</v>
          </cell>
        </row>
        <row r="356">
          <cell r="P356">
            <v>191.25432000000001</v>
          </cell>
        </row>
        <row r="357">
          <cell r="P357">
            <v>0</v>
          </cell>
        </row>
        <row r="358">
          <cell r="P358">
            <v>10364.162950000002</v>
          </cell>
        </row>
        <row r="359">
          <cell r="P359">
            <v>9653.6769800000002</v>
          </cell>
        </row>
        <row r="360">
          <cell r="P360">
            <v>42.388460000000002</v>
          </cell>
        </row>
        <row r="361">
          <cell r="P361">
            <v>1751.3307399999999</v>
          </cell>
        </row>
        <row r="362">
          <cell r="P362">
            <v>2136.9818500000001</v>
          </cell>
        </row>
        <row r="363">
          <cell r="P363">
            <v>24501.241690000003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Aimag_Urjver_12"/>
      <sheetName val="Aimag_Niilber_Sa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47">
          <cell r="P347">
            <v>2009.47147</v>
          </cell>
        </row>
        <row r="348">
          <cell r="P348">
            <v>4572.5966000000008</v>
          </cell>
        </row>
        <row r="364">
          <cell r="P364">
            <v>8083.8209999999999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1731.36634</v>
          </cell>
        </row>
        <row r="369">
          <cell r="P369">
            <v>129.5119</v>
          </cell>
        </row>
        <row r="370">
          <cell r="P370">
            <v>3448.2991999999999</v>
          </cell>
        </row>
        <row r="371">
          <cell r="P371">
            <v>10155.99</v>
          </cell>
        </row>
        <row r="373">
          <cell r="P373">
            <v>3444792.2266719993</v>
          </cell>
        </row>
        <row r="394">
          <cell r="P394">
            <v>146096.19829200002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Aimag_Urjver_12"/>
      <sheetName val="Aimag_Niilber_Sa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7">
          <cell r="P237">
            <v>0</v>
          </cell>
        </row>
        <row r="238">
          <cell r="P238">
            <v>592.91265999999996</v>
          </cell>
        </row>
        <row r="240">
          <cell r="P240">
            <v>826.01469999999995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11635.767</v>
          </cell>
        </row>
        <row r="244">
          <cell r="P244">
            <v>75.860950000000003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273.93167099999999</v>
          </cell>
        </row>
        <row r="253">
          <cell r="P253">
            <v>6.2273480000000001</v>
          </cell>
        </row>
        <row r="254">
          <cell r="P254">
            <v>466.04649000000006</v>
          </cell>
        </row>
        <row r="255">
          <cell r="P255">
            <v>772.65316599999994</v>
          </cell>
        </row>
        <row r="256">
          <cell r="P256">
            <v>1363.3040900000001</v>
          </cell>
        </row>
        <row r="257">
          <cell r="P257">
            <v>38.519435999999999</v>
          </cell>
        </row>
        <row r="258">
          <cell r="P258">
            <v>653.50584000000003</v>
          </cell>
        </row>
        <row r="259">
          <cell r="P259">
            <v>0</v>
          </cell>
        </row>
        <row r="260">
          <cell r="P260">
            <v>802.38679000000002</v>
          </cell>
        </row>
        <row r="261">
          <cell r="P261">
            <v>117.96401</v>
          </cell>
        </row>
        <row r="263">
          <cell r="P263">
            <v>258.13189999999997</v>
          </cell>
        </row>
        <row r="264">
          <cell r="P264">
            <v>0</v>
          </cell>
        </row>
        <row r="265">
          <cell r="P265">
            <v>367.22484999999995</v>
          </cell>
        </row>
        <row r="270">
          <cell r="P270">
            <v>4035.783699999999</v>
          </cell>
        </row>
        <row r="271">
          <cell r="P271">
            <v>1093.9925000000001</v>
          </cell>
        </row>
        <row r="272">
          <cell r="P272">
            <v>4481.3179</v>
          </cell>
        </row>
        <row r="273">
          <cell r="P273">
            <v>130.556667</v>
          </cell>
        </row>
        <row r="274">
          <cell r="P274">
            <v>368.06319999999999</v>
          </cell>
        </row>
        <row r="275">
          <cell r="P275">
            <v>3640.4881399999999</v>
          </cell>
        </row>
        <row r="276">
          <cell r="P276">
            <v>3677.1237499999997</v>
          </cell>
        </row>
        <row r="277">
          <cell r="P277">
            <v>54.302480000000003</v>
          </cell>
        </row>
        <row r="283">
          <cell r="P283">
            <v>2244.3517499999998</v>
          </cell>
        </row>
        <row r="285">
          <cell r="P285">
            <v>2514.0164800000002</v>
          </cell>
        </row>
        <row r="286">
          <cell r="P286">
            <v>7026.1015000000007</v>
          </cell>
        </row>
        <row r="298">
          <cell r="P298">
            <v>5549.8276999999998</v>
          </cell>
        </row>
        <row r="305">
          <cell r="P305">
            <v>1640.7165000000002</v>
          </cell>
        </row>
        <row r="306">
          <cell r="P306">
            <v>52.254620000000003</v>
          </cell>
        </row>
        <row r="307">
          <cell r="P307">
            <v>76.551509999999993</v>
          </cell>
        </row>
        <row r="308">
          <cell r="P308">
            <v>24.909389999999998</v>
          </cell>
        </row>
        <row r="309">
          <cell r="P309">
            <v>1214.3748900000001</v>
          </cell>
        </row>
        <row r="310">
          <cell r="P310">
            <v>925.97706799999992</v>
          </cell>
        </row>
        <row r="312">
          <cell r="P312">
            <v>10492.4931</v>
          </cell>
        </row>
        <row r="315">
          <cell r="P315">
            <v>1422.6050299999999</v>
          </cell>
        </row>
        <row r="317">
          <cell r="P317">
            <v>21.31194</v>
          </cell>
        </row>
        <row r="322">
          <cell r="P322">
            <v>127.09071299999999</v>
          </cell>
        </row>
        <row r="323">
          <cell r="P323">
            <v>2428.5615199999997</v>
          </cell>
        </row>
        <row r="325">
          <cell r="P325">
            <v>0</v>
          </cell>
        </row>
        <row r="332">
          <cell r="P332">
            <v>0</v>
          </cell>
        </row>
        <row r="334">
          <cell r="P334">
            <v>137.49977999999999</v>
          </cell>
        </row>
        <row r="335">
          <cell r="P335">
            <v>19.426780000000001</v>
          </cell>
        </row>
        <row r="336">
          <cell r="P336">
            <v>0</v>
          </cell>
        </row>
        <row r="338">
          <cell r="P338">
            <v>339.15778999999998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 "/>
      <sheetName val="ED ZAS"/>
      <sheetName val="huraangui"/>
      <sheetName val="hun am nasaar"/>
      <sheetName val="urh hun"/>
      <sheetName val="urchlelt"/>
      <sheetName val="gerlet"/>
      <sheetName val="torolt"/>
      <sheetName val="hagas buten unchin"/>
      <sheetName val="urh tolgoilson"/>
      <sheetName val="er hamgaalah"/>
      <sheetName val="haldvar"/>
      <sheetName val="ORLOGO"/>
      <sheetName val="ZARLAGA"/>
      <sheetName val="or-sum"/>
      <sheetName val="oglog"/>
      <sheetName val="emneleg"/>
      <sheetName val="une"/>
      <sheetName val="AX-3"/>
      <sheetName val="gemt hereg"/>
      <sheetName val="bolovsrol"/>
      <sheetName val="bolovsrol1"/>
      <sheetName val="1 dugeer angi"/>
      <sheetName val="SOB"/>
      <sheetName val="sob bagsh"/>
      <sheetName val="bank"/>
      <sheetName val="ay 1"/>
      <sheetName val="AY-but"/>
      <sheetName val="XOROGDOL"/>
      <sheetName val="bmal"/>
      <sheetName val="zardal"/>
      <sheetName val="tohiroo"/>
      <sheetName val="bulegl"/>
      <sheetName val="tejeeber"/>
      <sheetName val="TOL BOIJ"/>
      <sheetName val="ergelt"/>
      <sheetName val="zas-hud"/>
      <sheetName val="erliiz"/>
      <sheetName val="hashaa-hudag"/>
      <sheetName val="maltai erh"/>
      <sheetName val="malchin erh"/>
      <sheetName val="soel"/>
      <sheetName val="URGAC"/>
      <sheetName val="urgats-ga"/>
      <sheetName val="TARIALALT1"/>
      <sheetName val="malj"/>
      <sheetName val="xadlan"/>
      <sheetName val="TEEVER"/>
      <sheetName val="habta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9">
          <cell r="F19">
            <v>3.4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ebchlel"/>
      <sheetName val="em-emneleg"/>
      <sheetName val="XOROGDOL"/>
      <sheetName val="TEEV-NAA"/>
      <sheetName val="ORLOGO"/>
      <sheetName val="or_sum"/>
      <sheetName val="zarlaga"/>
      <sheetName val="TOL BOIJ"/>
      <sheetName val="taria"/>
      <sheetName val="urgats"/>
      <sheetName val="hadlan"/>
      <sheetName val="oglog"/>
      <sheetName val="XEREG"/>
      <sheetName val="ay 1"/>
      <sheetName val="ay-sum"/>
      <sheetName val="AY"/>
      <sheetName val="habtas"/>
      <sheetName val="AJILGYI"/>
      <sheetName val="TARIALA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n am nasaar"/>
      <sheetName val="urh hun bairshlaar"/>
      <sheetName val="0-14, 15-60, 60+"/>
      <sheetName val="urh urhiin terguulegcheer"/>
      <sheetName val="huisiin haritsaa"/>
      <sheetName val="NC-1"/>
      <sheetName val="6.1"/>
    </sheetNames>
    <sheetDataSet>
      <sheetData sheetId="0"/>
      <sheetData sheetId="1"/>
      <sheetData sheetId="2">
        <row r="41">
          <cell r="C41" t="str">
            <v>0-14</v>
          </cell>
          <cell r="D41" t="str">
            <v>15-59</v>
          </cell>
          <cell r="E41" t="str">
            <v>60+</v>
          </cell>
        </row>
        <row r="42">
          <cell r="C42">
            <v>20490</v>
          </cell>
          <cell r="D42">
            <v>49952</v>
          </cell>
          <cell r="E42">
            <v>4281</v>
          </cell>
        </row>
      </sheetData>
      <sheetData sheetId="3"/>
      <sheetData sheetId="4">
        <row r="12">
          <cell r="Q12">
            <v>2006</v>
          </cell>
          <cell r="R12">
            <v>2007</v>
          </cell>
          <cell r="S12">
            <v>2008</v>
          </cell>
          <cell r="T12">
            <v>2009</v>
          </cell>
          <cell r="U12">
            <v>2010</v>
          </cell>
          <cell r="V12">
            <v>2011</v>
          </cell>
          <cell r="W12">
            <v>2012</v>
          </cell>
        </row>
        <row r="13">
          <cell r="P13" t="str">
            <v>Ýðýãòýé</v>
          </cell>
          <cell r="Q13">
            <v>36339</v>
          </cell>
          <cell r="R13">
            <v>36274</v>
          </cell>
          <cell r="S13">
            <v>36579</v>
          </cell>
          <cell r="T13">
            <v>36458</v>
          </cell>
          <cell r="U13">
            <v>36885</v>
          </cell>
          <cell r="V13">
            <v>37212</v>
          </cell>
          <cell r="W13">
            <v>37282</v>
          </cell>
        </row>
        <row r="14">
          <cell r="P14" t="str">
            <v>ýìýãòýé</v>
          </cell>
          <cell r="Q14">
            <v>38231</v>
          </cell>
          <cell r="R14">
            <v>37920</v>
          </cell>
          <cell r="S14">
            <v>37935</v>
          </cell>
          <cell r="T14">
            <v>37435</v>
          </cell>
          <cell r="U14">
            <v>37588</v>
          </cell>
          <cell r="V14">
            <v>37824</v>
          </cell>
          <cell r="W14">
            <v>37441</v>
          </cell>
        </row>
        <row r="16">
          <cell r="S16" t="str">
            <v>Хүн ам тоо, 2001-2012 он</v>
          </cell>
        </row>
        <row r="17">
          <cell r="R17">
            <v>2005</v>
          </cell>
          <cell r="S17">
            <v>73981</v>
          </cell>
        </row>
        <row r="18">
          <cell r="R18">
            <v>2006</v>
          </cell>
          <cell r="S18">
            <v>74570</v>
          </cell>
        </row>
        <row r="19">
          <cell r="R19">
            <v>2007</v>
          </cell>
          <cell r="S19">
            <v>74194</v>
          </cell>
        </row>
        <row r="20">
          <cell r="R20">
            <v>2008</v>
          </cell>
          <cell r="S20">
            <v>74514</v>
          </cell>
        </row>
        <row r="21">
          <cell r="R21">
            <v>2009</v>
          </cell>
          <cell r="S21">
            <v>73893</v>
          </cell>
        </row>
        <row r="22">
          <cell r="R22">
            <v>2010</v>
          </cell>
          <cell r="S22">
            <v>74473</v>
          </cell>
        </row>
        <row r="23">
          <cell r="R23">
            <v>2011</v>
          </cell>
          <cell r="S23">
            <v>75036</v>
          </cell>
        </row>
        <row r="24">
          <cell r="R24">
            <v>2012</v>
          </cell>
          <cell r="S24">
            <v>74723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 ZAS"/>
      <sheetName val="ER XAM"/>
      <sheetName val="XALDBAR"/>
      <sheetName val="XOROGDOL"/>
      <sheetName val="BARILGA"/>
      <sheetName val="TEEVER"/>
      <sheetName val="HAAY"/>
      <sheetName val="ORLOGO"/>
      <sheetName val="ZARLAGA"/>
      <sheetName val="SUM ZAR"/>
      <sheetName val="TOS SUM"/>
      <sheetName val="TOL BOIJ"/>
      <sheetName val="URGAC"/>
      <sheetName val="TARIALALT"/>
      <sheetName val="BANK"/>
      <sheetName val="XEREG"/>
      <sheetName val="CYY"/>
      <sheetName val="ay 1"/>
      <sheetName val="AY"/>
      <sheetName val="AJILGYI"/>
      <sheetName val="xaLamj"/>
      <sheetName val="une"/>
      <sheetName val="xad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H7">
            <v>10.199999999999999</v>
          </cell>
          <cell r="I7">
            <v>10</v>
          </cell>
        </row>
        <row r="8">
          <cell r="I8">
            <v>3.5</v>
          </cell>
        </row>
        <row r="9">
          <cell r="C9">
            <v>880</v>
          </cell>
          <cell r="D9">
            <v>800</v>
          </cell>
          <cell r="H9">
            <v>31</v>
          </cell>
          <cell r="I9">
            <v>31.8</v>
          </cell>
        </row>
        <row r="10">
          <cell r="H10">
            <v>2</v>
          </cell>
          <cell r="I10">
            <v>4</v>
          </cell>
        </row>
        <row r="11">
          <cell r="H11">
            <v>8</v>
          </cell>
          <cell r="I11">
            <v>10</v>
          </cell>
        </row>
        <row r="12">
          <cell r="H12">
            <v>2</v>
          </cell>
          <cell r="I12">
            <v>2</v>
          </cell>
        </row>
        <row r="13">
          <cell r="C13">
            <v>2580</v>
          </cell>
          <cell r="D13">
            <v>1690</v>
          </cell>
          <cell r="H13">
            <v>6.7</v>
          </cell>
          <cell r="I13">
            <v>4.5</v>
          </cell>
        </row>
        <row r="14">
          <cell r="C14">
            <v>200</v>
          </cell>
          <cell r="H14">
            <v>0</v>
          </cell>
        </row>
        <row r="15">
          <cell r="H15">
            <v>4.5</v>
          </cell>
        </row>
        <row r="16">
          <cell r="C16">
            <v>950</v>
          </cell>
          <cell r="H16">
            <v>9.6</v>
          </cell>
        </row>
        <row r="17">
          <cell r="C17">
            <v>390</v>
          </cell>
          <cell r="D17">
            <v>350</v>
          </cell>
          <cell r="H17">
            <v>8</v>
          </cell>
          <cell r="I17">
            <v>28.7</v>
          </cell>
        </row>
        <row r="18">
          <cell r="D18">
            <v>140</v>
          </cell>
        </row>
        <row r="20">
          <cell r="D20">
            <v>100</v>
          </cell>
          <cell r="H20">
            <v>90</v>
          </cell>
          <cell r="I20">
            <v>60.5</v>
          </cell>
        </row>
        <row r="21">
          <cell r="C21">
            <v>5000</v>
          </cell>
          <cell r="D21">
            <v>3080</v>
          </cell>
          <cell r="H21">
            <v>172</v>
          </cell>
          <cell r="I21">
            <v>155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ur"/>
      <sheetName val="ED ZAS"/>
      <sheetName val="ER XAM"/>
      <sheetName val="XALDBAR"/>
      <sheetName val="XOROGDOL"/>
      <sheetName val="BARILGA"/>
      <sheetName val="TEEVER"/>
      <sheetName val="HAAY"/>
      <sheetName val="ORLOGO"/>
      <sheetName val="ZARLAGA"/>
      <sheetName val="SUM ZAR"/>
      <sheetName val="TOS SUM"/>
      <sheetName val="TOL BOIJ"/>
      <sheetName val="URGAC"/>
      <sheetName val="TARIALALT"/>
      <sheetName val="oglog"/>
      <sheetName val="XEREG"/>
      <sheetName val="CYY"/>
      <sheetName val="ay 1"/>
      <sheetName val="AY"/>
      <sheetName val="AJILGYI"/>
      <sheetName val="xaLamj"/>
      <sheetName val="xadlan"/>
      <sheetName val="y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H7">
            <v>12</v>
          </cell>
          <cell r="I7">
            <v>13</v>
          </cell>
        </row>
        <row r="8">
          <cell r="D8" t="str">
            <v/>
          </cell>
          <cell r="H8">
            <v>2</v>
          </cell>
          <cell r="I8">
            <v>1</v>
          </cell>
        </row>
        <row r="9">
          <cell r="C9">
            <v>920</v>
          </cell>
          <cell r="D9">
            <v>880</v>
          </cell>
          <cell r="H9">
            <v>35</v>
          </cell>
          <cell r="I9">
            <v>31</v>
          </cell>
        </row>
        <row r="10">
          <cell r="H10">
            <v>5</v>
          </cell>
          <cell r="I10">
            <v>4</v>
          </cell>
        </row>
        <row r="11">
          <cell r="D11" t="str">
            <v/>
          </cell>
          <cell r="H11">
            <v>12</v>
          </cell>
          <cell r="I11">
            <v>10.3</v>
          </cell>
        </row>
        <row r="12">
          <cell r="H12">
            <v>1</v>
          </cell>
          <cell r="I12">
            <v>2</v>
          </cell>
        </row>
        <row r="13">
          <cell r="C13">
            <v>2730</v>
          </cell>
          <cell r="D13">
            <v>2620</v>
          </cell>
          <cell r="H13">
            <v>12.7</v>
          </cell>
          <cell r="I13">
            <v>7.7</v>
          </cell>
        </row>
        <row r="14">
          <cell r="C14">
            <v>140</v>
          </cell>
          <cell r="D14">
            <v>200</v>
          </cell>
          <cell r="H14">
            <v>2</v>
          </cell>
          <cell r="I14">
            <v>0</v>
          </cell>
        </row>
        <row r="15">
          <cell r="H15">
            <v>5</v>
          </cell>
          <cell r="I15">
            <v>4.5</v>
          </cell>
        </row>
        <row r="16">
          <cell r="C16">
            <v>950</v>
          </cell>
          <cell r="D16">
            <v>950</v>
          </cell>
          <cell r="H16">
            <v>9.8000000000000007</v>
          </cell>
          <cell r="I16">
            <v>9.6</v>
          </cell>
        </row>
        <row r="17">
          <cell r="C17">
            <v>300</v>
          </cell>
          <cell r="D17">
            <v>390</v>
          </cell>
          <cell r="H17">
            <v>27.4</v>
          </cell>
          <cell r="I17">
            <v>20.399999999999999</v>
          </cell>
        </row>
        <row r="18">
          <cell r="C18">
            <v>180</v>
          </cell>
          <cell r="H18">
            <v>1</v>
          </cell>
          <cell r="I18">
            <v>0.5</v>
          </cell>
        </row>
        <row r="19">
          <cell r="H19">
            <v>11.6</v>
          </cell>
          <cell r="I19">
            <v>4.2</v>
          </cell>
        </row>
        <row r="20">
          <cell r="C20">
            <v>200</v>
          </cell>
          <cell r="D20" t="str">
            <v/>
          </cell>
          <cell r="H20">
            <v>112</v>
          </cell>
          <cell r="I20">
            <v>110</v>
          </cell>
        </row>
        <row r="21">
          <cell r="C21">
            <v>5420</v>
          </cell>
          <cell r="D21">
            <v>5040</v>
          </cell>
          <cell r="H21">
            <v>248.5</v>
          </cell>
          <cell r="I21">
            <v>218.2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277"/>
  <sheetViews>
    <sheetView showGridLines="0" topLeftCell="A52" workbookViewId="0">
      <selection activeCell="FW96" sqref="FW96"/>
    </sheetView>
  </sheetViews>
  <sheetFormatPr defaultRowHeight="12.75"/>
  <cols>
    <col min="1" max="176" width="0.5703125" style="177" customWidth="1"/>
    <col min="177" max="16384" width="9.140625" style="177"/>
  </cols>
  <sheetData>
    <row r="1" spans="1:169" ht="3" customHeight="1">
      <c r="A1" s="191"/>
      <c r="B1" s="180"/>
      <c r="C1" s="180"/>
      <c r="D1" s="180"/>
      <c r="F1" s="180"/>
      <c r="G1" s="180"/>
      <c r="H1" s="180"/>
      <c r="J1" s="180"/>
      <c r="K1" s="180"/>
      <c r="L1" s="180"/>
      <c r="N1" s="180"/>
      <c r="O1" s="180"/>
      <c r="P1" s="180"/>
      <c r="R1" s="180"/>
      <c r="S1" s="180"/>
      <c r="T1" s="180"/>
      <c r="V1" s="180"/>
      <c r="W1" s="180"/>
      <c r="X1" s="180"/>
      <c r="Z1" s="180"/>
      <c r="AA1" s="179"/>
      <c r="AB1" s="180"/>
      <c r="AD1" s="180"/>
      <c r="AE1" s="180"/>
      <c r="AF1" s="180"/>
      <c r="AH1" s="180"/>
      <c r="AI1" s="180"/>
      <c r="AJ1" s="180"/>
      <c r="AL1" s="180"/>
      <c r="AM1" s="180"/>
      <c r="AN1" s="180"/>
      <c r="AP1" s="180"/>
      <c r="AQ1" s="180"/>
      <c r="AR1" s="180"/>
      <c r="AT1" s="180"/>
      <c r="AU1" s="180"/>
      <c r="AV1" s="180"/>
      <c r="AX1" s="180"/>
      <c r="AY1" s="180"/>
      <c r="AZ1" s="180"/>
      <c r="BB1" s="180"/>
      <c r="BC1" s="180"/>
      <c r="BD1" s="180"/>
      <c r="BF1" s="180"/>
      <c r="BG1" s="179"/>
      <c r="BH1" s="180"/>
      <c r="BJ1" s="180"/>
      <c r="BK1" s="180"/>
      <c r="BL1" s="180"/>
      <c r="BN1" s="180"/>
      <c r="BO1" s="180"/>
      <c r="BP1" s="180"/>
      <c r="BR1" s="180"/>
      <c r="BS1" s="180"/>
      <c r="BT1" s="180"/>
      <c r="BV1" s="180"/>
      <c r="BW1" s="180"/>
      <c r="BX1" s="180"/>
      <c r="BZ1" s="180"/>
      <c r="CA1" s="180"/>
      <c r="CB1" s="180"/>
      <c r="CD1" s="180"/>
      <c r="CE1" s="180"/>
      <c r="CF1" s="180"/>
      <c r="CH1" s="180"/>
      <c r="CI1" s="180"/>
      <c r="CJ1" s="180"/>
      <c r="CL1" s="180"/>
      <c r="CM1" s="179"/>
      <c r="CN1" s="180"/>
      <c r="CP1" s="180"/>
      <c r="CQ1" s="180"/>
      <c r="CR1" s="180"/>
      <c r="CT1" s="180"/>
      <c r="CU1" s="180"/>
      <c r="CV1" s="180"/>
      <c r="CX1" s="180"/>
      <c r="CY1" s="180"/>
      <c r="CZ1" s="180"/>
      <c r="DB1" s="180"/>
      <c r="DC1" s="180"/>
      <c r="DD1" s="180"/>
      <c r="DF1" s="180"/>
      <c r="DG1" s="180"/>
      <c r="DH1" s="180"/>
      <c r="DJ1" s="180"/>
      <c r="DK1" s="180"/>
      <c r="DL1" s="180"/>
      <c r="DN1" s="180"/>
      <c r="DO1" s="180"/>
      <c r="DP1" s="180"/>
      <c r="DR1" s="180"/>
      <c r="DS1" s="179"/>
      <c r="DT1" s="180"/>
      <c r="DV1" s="180"/>
      <c r="DW1" s="180"/>
      <c r="DX1" s="180"/>
      <c r="DZ1" s="180"/>
      <c r="EA1" s="180"/>
      <c r="EB1" s="180"/>
      <c r="ED1" s="180"/>
      <c r="EE1" s="180"/>
      <c r="EF1" s="180"/>
      <c r="EH1" s="180"/>
      <c r="EI1" s="180"/>
      <c r="EJ1" s="180"/>
      <c r="EL1" s="180"/>
      <c r="EM1" s="180"/>
      <c r="EN1" s="180"/>
      <c r="EQ1" s="179"/>
      <c r="ER1" s="179"/>
      <c r="EU1" s="179"/>
      <c r="EV1" s="179"/>
      <c r="EY1" s="179"/>
      <c r="EZ1" s="179"/>
      <c r="FC1" s="179"/>
      <c r="FD1" s="179"/>
      <c r="FG1" s="179"/>
      <c r="FH1" s="179"/>
      <c r="FK1" s="179"/>
      <c r="FL1" s="180"/>
      <c r="FM1" s="182"/>
    </row>
    <row r="2" spans="1:169" ht="3" customHeight="1">
      <c r="A2" s="183"/>
      <c r="B2" s="191"/>
      <c r="E2" s="185"/>
      <c r="F2" s="184"/>
      <c r="H2" s="187"/>
      <c r="I2" s="183"/>
      <c r="J2" s="181"/>
      <c r="L2" s="187"/>
      <c r="M2" s="183"/>
      <c r="N2" s="181"/>
      <c r="Q2" s="183"/>
      <c r="R2" s="181"/>
      <c r="U2" s="183"/>
      <c r="V2" s="181"/>
      <c r="Y2" s="183"/>
      <c r="Z2" s="181"/>
      <c r="AB2" s="187"/>
      <c r="AC2" s="183"/>
      <c r="AD2" s="181"/>
      <c r="AG2" s="183"/>
      <c r="AH2" s="181"/>
      <c r="AJ2" s="187"/>
      <c r="AK2" s="183"/>
      <c r="AL2" s="181"/>
      <c r="AO2" s="183"/>
      <c r="AP2" s="181"/>
      <c r="AS2" s="183"/>
      <c r="AT2" s="181"/>
      <c r="AW2" s="183"/>
      <c r="AX2" s="181"/>
      <c r="BA2" s="183"/>
      <c r="BB2" s="181"/>
      <c r="BE2" s="183"/>
      <c r="BF2" s="181"/>
      <c r="BH2" s="187"/>
      <c r="BI2" s="183"/>
      <c r="BJ2" s="181"/>
      <c r="BM2" s="183"/>
      <c r="BN2" s="181"/>
      <c r="BP2" s="187"/>
      <c r="BQ2" s="183"/>
      <c r="BR2" s="181"/>
      <c r="BU2" s="183"/>
      <c r="BV2" s="181"/>
      <c r="BY2" s="183"/>
      <c r="BZ2" s="181"/>
      <c r="CC2" s="183"/>
      <c r="CD2" s="181"/>
      <c r="CG2" s="183"/>
      <c r="CH2" s="181"/>
      <c r="CK2" s="183"/>
      <c r="CL2" s="181"/>
      <c r="CN2" s="187"/>
      <c r="CO2" s="183"/>
      <c r="CP2" s="181"/>
      <c r="CS2" s="183"/>
      <c r="CT2" s="181"/>
      <c r="CV2" s="187"/>
      <c r="CW2" s="183"/>
      <c r="CX2" s="181"/>
      <c r="DA2" s="183"/>
      <c r="DB2" s="181"/>
      <c r="DE2" s="183"/>
      <c r="DF2" s="181"/>
      <c r="DI2" s="183"/>
      <c r="DJ2" s="181"/>
      <c r="DM2" s="183"/>
      <c r="DN2" s="181"/>
      <c r="DQ2" s="183"/>
      <c r="DR2" s="181"/>
      <c r="DT2" s="187"/>
      <c r="DU2" s="183"/>
      <c r="DV2" s="181"/>
      <c r="DY2" s="183"/>
      <c r="DZ2" s="181"/>
      <c r="EB2" s="187"/>
      <c r="EC2" s="183"/>
      <c r="ED2" s="181"/>
      <c r="EG2" s="183"/>
      <c r="EH2" s="181"/>
      <c r="EK2" s="183"/>
      <c r="EL2" s="181"/>
      <c r="EO2" s="183"/>
      <c r="EP2" s="184"/>
      <c r="ES2" s="183"/>
      <c r="ET2" s="184"/>
      <c r="EW2" s="183"/>
      <c r="EX2" s="184"/>
      <c r="FA2" s="183"/>
      <c r="FB2" s="184"/>
      <c r="FE2" s="183"/>
      <c r="FF2" s="184"/>
      <c r="FI2" s="183"/>
      <c r="FJ2" s="184"/>
      <c r="FM2" s="185"/>
    </row>
    <row r="3" spans="1:169" ht="3" customHeight="1">
      <c r="A3" s="183"/>
      <c r="B3" s="183"/>
      <c r="C3" s="178"/>
      <c r="D3" s="184"/>
      <c r="E3" s="180"/>
      <c r="F3" s="187"/>
      <c r="H3" s="184"/>
      <c r="I3" s="180"/>
      <c r="J3" s="178"/>
      <c r="L3" s="184"/>
      <c r="M3" s="180"/>
      <c r="N3" s="180"/>
      <c r="O3" s="183"/>
      <c r="P3" s="184"/>
      <c r="Q3" s="180"/>
      <c r="R3" s="180"/>
      <c r="S3" s="183"/>
      <c r="T3" s="184"/>
      <c r="U3" s="180"/>
      <c r="V3" s="179"/>
      <c r="W3" s="183"/>
      <c r="X3" s="184"/>
      <c r="Y3" s="180"/>
      <c r="Z3" s="180"/>
      <c r="AA3" s="183"/>
      <c r="AB3" s="184"/>
      <c r="AC3" s="180"/>
      <c r="AD3" s="180"/>
      <c r="AE3" s="183"/>
      <c r="AF3" s="184"/>
      <c r="AG3" s="180"/>
      <c r="AH3" s="180"/>
      <c r="AI3" s="183"/>
      <c r="AJ3" s="184"/>
      <c r="AK3" s="180"/>
      <c r="AL3" s="180"/>
      <c r="AM3" s="183"/>
      <c r="AN3" s="184"/>
      <c r="AO3" s="180"/>
      <c r="AP3" s="180"/>
      <c r="AQ3" s="183"/>
      <c r="AR3" s="184"/>
      <c r="AS3" s="180"/>
      <c r="AT3" s="179"/>
      <c r="AU3" s="183"/>
      <c r="AV3" s="184"/>
      <c r="AW3" s="180"/>
      <c r="AX3" s="180"/>
      <c r="AY3" s="183"/>
      <c r="AZ3" s="184"/>
      <c r="BA3" s="180"/>
      <c r="BB3" s="179"/>
      <c r="BC3" s="183"/>
      <c r="BD3" s="184"/>
      <c r="BE3" s="180"/>
      <c r="BF3" s="180"/>
      <c r="BG3" s="183"/>
      <c r="BH3" s="184"/>
      <c r="BI3" s="180"/>
      <c r="BJ3" s="180"/>
      <c r="BK3" s="183"/>
      <c r="BL3" s="184"/>
      <c r="BM3" s="180"/>
      <c r="BN3" s="180"/>
      <c r="BO3" s="183"/>
      <c r="BP3" s="184"/>
      <c r="BQ3" s="180"/>
      <c r="BR3" s="180"/>
      <c r="BS3" s="183"/>
      <c r="BT3" s="184"/>
      <c r="BU3" s="180"/>
      <c r="BV3" s="180"/>
      <c r="BW3" s="183"/>
      <c r="BX3" s="184"/>
      <c r="BY3" s="180"/>
      <c r="BZ3" s="179"/>
      <c r="CA3" s="183"/>
      <c r="CB3" s="184"/>
      <c r="CC3" s="180"/>
      <c r="CD3" s="180"/>
      <c r="CE3" s="183"/>
      <c r="CF3" s="184"/>
      <c r="CG3" s="180"/>
      <c r="CH3" s="179"/>
      <c r="CI3" s="183"/>
      <c r="CJ3" s="184"/>
      <c r="CK3" s="180"/>
      <c r="CL3" s="180"/>
      <c r="CM3" s="183"/>
      <c r="CN3" s="184"/>
      <c r="CO3" s="180"/>
      <c r="CP3" s="180"/>
      <c r="CQ3" s="183"/>
      <c r="CR3" s="184"/>
      <c r="CS3" s="180"/>
      <c r="CT3" s="180"/>
      <c r="CU3" s="183"/>
      <c r="CV3" s="184"/>
      <c r="CW3" s="180"/>
      <c r="CX3" s="180"/>
      <c r="CY3" s="183"/>
      <c r="CZ3" s="184"/>
      <c r="DA3" s="180"/>
      <c r="DB3" s="180"/>
      <c r="DC3" s="183"/>
      <c r="DD3" s="184"/>
      <c r="DE3" s="180"/>
      <c r="DF3" s="179"/>
      <c r="DG3" s="183"/>
      <c r="DH3" s="184"/>
      <c r="DI3" s="180"/>
      <c r="DJ3" s="180"/>
      <c r="DK3" s="183"/>
      <c r="DL3" s="184"/>
      <c r="DM3" s="180"/>
      <c r="DN3" s="179"/>
      <c r="DO3" s="183"/>
      <c r="DP3" s="184"/>
      <c r="DQ3" s="180"/>
      <c r="DR3" s="180"/>
      <c r="DS3" s="183"/>
      <c r="DT3" s="184"/>
      <c r="DU3" s="180"/>
      <c r="DV3" s="180"/>
      <c r="DW3" s="183"/>
      <c r="DX3" s="184"/>
      <c r="DY3" s="180"/>
      <c r="DZ3" s="180"/>
      <c r="EA3" s="183"/>
      <c r="EB3" s="184"/>
      <c r="EC3" s="180"/>
      <c r="ED3" s="180"/>
      <c r="EE3" s="183"/>
      <c r="EF3" s="184"/>
      <c r="EG3" s="180"/>
      <c r="EH3" s="180"/>
      <c r="EI3" s="183"/>
      <c r="EJ3" s="184"/>
      <c r="EK3" s="180"/>
      <c r="EL3" s="179"/>
      <c r="EM3" s="183"/>
      <c r="EN3" s="184"/>
      <c r="EO3" s="180"/>
      <c r="EP3" s="178"/>
      <c r="EQ3" s="183"/>
      <c r="ER3" s="184"/>
      <c r="ES3" s="180"/>
      <c r="ET3" s="180"/>
      <c r="EU3" s="183"/>
      <c r="EV3" s="184"/>
      <c r="EW3" s="180"/>
      <c r="EX3" s="180"/>
      <c r="EY3" s="183"/>
      <c r="EZ3" s="184"/>
      <c r="FA3" s="180"/>
      <c r="FB3" s="180"/>
      <c r="FC3" s="183"/>
      <c r="FD3" s="184"/>
      <c r="FE3" s="180"/>
      <c r="FF3" s="180"/>
      <c r="FG3" s="183"/>
      <c r="FH3" s="184"/>
      <c r="FI3" s="180"/>
      <c r="FJ3" s="180"/>
      <c r="FK3" s="181"/>
      <c r="FM3" s="185"/>
    </row>
    <row r="4" spans="1:169" ht="3" customHeight="1">
      <c r="A4" s="183"/>
      <c r="B4" s="181"/>
      <c r="C4" s="183"/>
      <c r="D4" s="191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FK4" s="183"/>
      <c r="FL4" s="190"/>
      <c r="FM4" s="182"/>
    </row>
    <row r="5" spans="1:169" ht="3" customHeight="1">
      <c r="A5" s="183"/>
      <c r="B5" s="179"/>
      <c r="D5" s="183"/>
      <c r="E5" s="191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96"/>
      <c r="FK5" s="183"/>
      <c r="FL5" s="180"/>
      <c r="FM5" s="182"/>
    </row>
    <row r="6" spans="1:169" ht="3" customHeight="1">
      <c r="A6" s="183"/>
      <c r="B6" s="191"/>
      <c r="C6" s="190"/>
      <c r="D6" s="183"/>
      <c r="E6" s="183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2"/>
      <c r="FK6" s="190"/>
      <c r="FL6" s="182"/>
      <c r="FM6" s="182"/>
    </row>
    <row r="7" spans="1:169" ht="3" customHeight="1">
      <c r="A7" s="183"/>
      <c r="B7" s="183"/>
      <c r="C7" s="179"/>
      <c r="E7" s="183"/>
      <c r="F7" s="186"/>
      <c r="G7" s="186"/>
      <c r="H7" s="186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2"/>
      <c r="FK7" s="180"/>
      <c r="FL7" s="182"/>
      <c r="FM7" s="182"/>
    </row>
    <row r="8" spans="1:169" ht="3" customHeight="1">
      <c r="A8" s="183"/>
      <c r="B8" s="190"/>
      <c r="C8" s="183"/>
      <c r="D8" s="183"/>
      <c r="E8" s="183"/>
      <c r="F8" s="186"/>
      <c r="G8" s="186"/>
      <c r="H8" s="186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2"/>
      <c r="FK8" s="183"/>
      <c r="FL8" s="190"/>
      <c r="FM8" s="182"/>
    </row>
    <row r="9" spans="1:169" ht="3" customHeight="1">
      <c r="A9" s="183"/>
      <c r="B9" s="179"/>
      <c r="D9" s="183"/>
      <c r="E9" s="183"/>
      <c r="F9" s="186"/>
      <c r="G9" s="186"/>
      <c r="H9" s="186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  <c r="DR9" s="186"/>
      <c r="DS9" s="186"/>
      <c r="DT9" s="186"/>
      <c r="DU9" s="186"/>
      <c r="DV9" s="186"/>
      <c r="DW9" s="186"/>
      <c r="DX9" s="186"/>
      <c r="DY9" s="186"/>
      <c r="DZ9" s="186"/>
      <c r="EA9" s="186"/>
      <c r="EB9" s="186"/>
      <c r="EC9" s="186"/>
      <c r="ED9" s="186"/>
      <c r="EE9" s="186"/>
      <c r="EF9" s="186"/>
      <c r="EG9" s="186"/>
      <c r="EH9" s="186"/>
      <c r="EI9" s="186"/>
      <c r="EJ9" s="186"/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2"/>
      <c r="FK9" s="183"/>
      <c r="FL9" s="180"/>
      <c r="FM9" s="182"/>
    </row>
    <row r="10" spans="1:169" ht="3" customHeight="1">
      <c r="A10" s="183"/>
      <c r="B10" s="191"/>
      <c r="C10" s="190"/>
      <c r="D10" s="183"/>
      <c r="E10" s="183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2"/>
      <c r="FK10" s="190"/>
      <c r="FL10" s="182"/>
      <c r="FM10" s="182"/>
    </row>
    <row r="11" spans="1:169" ht="3" customHeight="1">
      <c r="A11" s="183"/>
      <c r="B11" s="183"/>
      <c r="C11" s="179"/>
      <c r="E11" s="183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2"/>
      <c r="FK11" s="180"/>
      <c r="FL11" s="182"/>
      <c r="FM11" s="182"/>
    </row>
    <row r="12" spans="1:169" ht="3" customHeight="1">
      <c r="A12" s="183"/>
      <c r="B12" s="181"/>
      <c r="C12" s="191"/>
      <c r="D12" s="183"/>
      <c r="E12" s="183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2"/>
      <c r="FK12" s="183"/>
      <c r="FL12" s="190"/>
      <c r="FM12" s="182"/>
    </row>
    <row r="13" spans="1:169" ht="3" customHeight="1">
      <c r="A13" s="183"/>
      <c r="B13" s="179"/>
      <c r="D13" s="183"/>
      <c r="E13" s="183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2"/>
      <c r="FK13" s="183"/>
      <c r="FL13" s="180"/>
      <c r="FM13" s="182"/>
    </row>
    <row r="14" spans="1:169" ht="3" customHeight="1">
      <c r="A14" s="183"/>
      <c r="B14" s="191"/>
      <c r="C14" s="190"/>
      <c r="D14" s="183"/>
      <c r="E14" s="183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2"/>
      <c r="FK14" s="190"/>
      <c r="FL14" s="182"/>
      <c r="FM14" s="182"/>
    </row>
    <row r="15" spans="1:169" ht="3" customHeight="1">
      <c r="A15" s="183"/>
      <c r="B15" s="183"/>
      <c r="C15" s="179"/>
      <c r="E15" s="183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2"/>
      <c r="FK15" s="180"/>
      <c r="FL15" s="182"/>
      <c r="FM15" s="182"/>
    </row>
    <row r="16" spans="1:169" ht="3" customHeight="1">
      <c r="A16" s="183"/>
      <c r="B16" s="190"/>
      <c r="C16" s="183"/>
      <c r="D16" s="183"/>
      <c r="E16" s="183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EU16" s="186"/>
      <c r="EV16" s="186"/>
      <c r="EW16" s="186"/>
      <c r="EX16" s="186"/>
      <c r="EY16" s="186"/>
      <c r="EZ16" s="186"/>
      <c r="FA16" s="186"/>
      <c r="FB16" s="186"/>
      <c r="FC16" s="186"/>
      <c r="FD16" s="186"/>
      <c r="FE16" s="186"/>
      <c r="FF16" s="186"/>
      <c r="FG16" s="186"/>
      <c r="FH16" s="186"/>
      <c r="FI16" s="182"/>
      <c r="FK16" s="183"/>
      <c r="FL16" s="190"/>
      <c r="FM16" s="182"/>
    </row>
    <row r="17" spans="1:169" ht="3" customHeight="1">
      <c r="A17" s="183"/>
      <c r="B17" s="179"/>
      <c r="D17" s="183"/>
      <c r="E17" s="183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2"/>
      <c r="FK17" s="183"/>
      <c r="FL17" s="180"/>
      <c r="FM17" s="182"/>
    </row>
    <row r="18" spans="1:169" ht="3" customHeight="1">
      <c r="A18" s="183"/>
      <c r="B18" s="191"/>
      <c r="C18" s="190"/>
      <c r="D18" s="183"/>
      <c r="E18" s="183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379" t="s">
        <v>677</v>
      </c>
      <c r="U18" s="1380"/>
      <c r="V18" s="1380"/>
      <c r="W18" s="1380"/>
      <c r="X18" s="1380"/>
      <c r="Y18" s="1380"/>
      <c r="Z18" s="1380"/>
      <c r="AA18" s="1380"/>
      <c r="AB18" s="1380"/>
      <c r="AC18" s="1380"/>
      <c r="AD18" s="1380"/>
      <c r="AE18" s="1380"/>
      <c r="AF18" s="1380"/>
      <c r="AG18" s="1380"/>
      <c r="AH18" s="1380"/>
      <c r="AI18" s="1380"/>
      <c r="AJ18" s="1380"/>
      <c r="AK18" s="1380"/>
      <c r="AL18" s="1380"/>
      <c r="AM18" s="1380"/>
      <c r="AN18" s="1380"/>
      <c r="AO18" s="1380"/>
      <c r="AP18" s="1380"/>
      <c r="AQ18" s="1380"/>
      <c r="AR18" s="1380"/>
      <c r="AS18" s="1380"/>
      <c r="AT18" s="1380"/>
      <c r="AU18" s="1380"/>
      <c r="AV18" s="1380"/>
      <c r="AW18" s="1380"/>
      <c r="AX18" s="1380"/>
      <c r="AY18" s="1380"/>
      <c r="AZ18" s="1380"/>
      <c r="BA18" s="1380"/>
      <c r="BB18" s="1380"/>
      <c r="BC18" s="1380"/>
      <c r="BD18" s="1380"/>
      <c r="BE18" s="1380"/>
      <c r="BF18" s="1380"/>
      <c r="BG18" s="1380"/>
      <c r="BH18" s="1380"/>
      <c r="BI18" s="1380"/>
      <c r="BJ18" s="1380"/>
      <c r="BK18" s="1380"/>
      <c r="BL18" s="1380"/>
      <c r="BM18" s="1380"/>
      <c r="BN18" s="1380"/>
      <c r="BO18" s="1380"/>
      <c r="BP18" s="1380"/>
      <c r="BQ18" s="1380"/>
      <c r="BR18" s="1380"/>
      <c r="BS18" s="1380"/>
      <c r="BT18" s="1380"/>
      <c r="BU18" s="1380"/>
      <c r="BV18" s="1380"/>
      <c r="BW18" s="1380"/>
      <c r="BX18" s="1380"/>
      <c r="BY18" s="1380"/>
      <c r="BZ18" s="1380"/>
      <c r="CA18" s="1380"/>
      <c r="CB18" s="1380"/>
      <c r="CC18" s="1380"/>
      <c r="CD18" s="1380"/>
      <c r="CE18" s="1380"/>
      <c r="CF18" s="1380"/>
      <c r="CG18" s="1380"/>
      <c r="CH18" s="1380"/>
      <c r="CI18" s="1380"/>
      <c r="CJ18" s="1380"/>
      <c r="CK18" s="1380"/>
      <c r="CL18" s="1380"/>
      <c r="CM18" s="1380"/>
      <c r="CN18" s="1380"/>
      <c r="CO18" s="1380"/>
      <c r="CP18" s="1380"/>
      <c r="CQ18" s="1380"/>
      <c r="CR18" s="1380"/>
      <c r="CS18" s="1380"/>
      <c r="CT18" s="1380"/>
      <c r="CU18" s="1380"/>
      <c r="CV18" s="1380"/>
      <c r="CW18" s="1380"/>
      <c r="CX18" s="1380"/>
      <c r="CY18" s="1380"/>
      <c r="CZ18" s="1380"/>
      <c r="DA18" s="1380"/>
      <c r="DB18" s="1380"/>
      <c r="DC18" s="1380"/>
      <c r="DD18" s="1380"/>
      <c r="DE18" s="1380"/>
      <c r="DF18" s="1380"/>
      <c r="DG18" s="1380"/>
      <c r="DH18" s="1380"/>
      <c r="DI18" s="1380"/>
      <c r="DJ18" s="1380"/>
      <c r="DK18" s="1380"/>
      <c r="DL18" s="1380"/>
      <c r="DM18" s="1380"/>
      <c r="DN18" s="1380"/>
      <c r="DO18" s="1380"/>
      <c r="DP18" s="1380"/>
      <c r="DQ18" s="1380"/>
      <c r="DR18" s="1380"/>
      <c r="DS18" s="1380"/>
      <c r="DT18" s="1380"/>
      <c r="DU18" s="1380"/>
      <c r="DV18" s="1380"/>
      <c r="DW18" s="1380"/>
      <c r="DX18" s="1380"/>
      <c r="DY18" s="1380"/>
      <c r="DZ18" s="1380"/>
      <c r="EA18" s="1380"/>
      <c r="EB18" s="1380"/>
      <c r="EC18" s="1380"/>
      <c r="ED18" s="1380"/>
      <c r="EE18" s="1380"/>
      <c r="EF18" s="1380"/>
      <c r="EG18" s="1380"/>
      <c r="EH18" s="1380"/>
      <c r="EI18" s="1380"/>
      <c r="EJ18" s="1380"/>
      <c r="EK18" s="1380"/>
      <c r="EL18" s="1380"/>
      <c r="EM18" s="1380"/>
      <c r="EN18" s="1380"/>
      <c r="EO18" s="1380"/>
      <c r="EP18" s="1380"/>
      <c r="EQ18" s="1380"/>
      <c r="ER18" s="1380"/>
      <c r="ES18" s="1380"/>
      <c r="ET18" s="1380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2"/>
      <c r="FK18" s="190"/>
      <c r="FL18" s="182"/>
      <c r="FM18" s="182"/>
    </row>
    <row r="19" spans="1:169" ht="3" customHeight="1">
      <c r="A19" s="183"/>
      <c r="B19" s="183"/>
      <c r="C19" s="179"/>
      <c r="E19" s="183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380"/>
      <c r="U19" s="1380"/>
      <c r="V19" s="1380"/>
      <c r="W19" s="1380"/>
      <c r="X19" s="1380"/>
      <c r="Y19" s="1380"/>
      <c r="Z19" s="1380"/>
      <c r="AA19" s="1380"/>
      <c r="AB19" s="1380"/>
      <c r="AC19" s="1380"/>
      <c r="AD19" s="1380"/>
      <c r="AE19" s="1380"/>
      <c r="AF19" s="1380"/>
      <c r="AG19" s="1380"/>
      <c r="AH19" s="1380"/>
      <c r="AI19" s="1380"/>
      <c r="AJ19" s="1380"/>
      <c r="AK19" s="1380"/>
      <c r="AL19" s="1380"/>
      <c r="AM19" s="1380"/>
      <c r="AN19" s="1380"/>
      <c r="AO19" s="1380"/>
      <c r="AP19" s="1380"/>
      <c r="AQ19" s="1380"/>
      <c r="AR19" s="1380"/>
      <c r="AS19" s="1380"/>
      <c r="AT19" s="1380"/>
      <c r="AU19" s="1380"/>
      <c r="AV19" s="1380"/>
      <c r="AW19" s="1380"/>
      <c r="AX19" s="1380"/>
      <c r="AY19" s="1380"/>
      <c r="AZ19" s="1380"/>
      <c r="BA19" s="1380"/>
      <c r="BB19" s="1380"/>
      <c r="BC19" s="1380"/>
      <c r="BD19" s="1380"/>
      <c r="BE19" s="1380"/>
      <c r="BF19" s="1380"/>
      <c r="BG19" s="1380"/>
      <c r="BH19" s="1380"/>
      <c r="BI19" s="1380"/>
      <c r="BJ19" s="1380"/>
      <c r="BK19" s="1380"/>
      <c r="BL19" s="1380"/>
      <c r="BM19" s="1380"/>
      <c r="BN19" s="1380"/>
      <c r="BO19" s="1380"/>
      <c r="BP19" s="1380"/>
      <c r="BQ19" s="1380"/>
      <c r="BR19" s="1380"/>
      <c r="BS19" s="1380"/>
      <c r="BT19" s="1380"/>
      <c r="BU19" s="1380"/>
      <c r="BV19" s="1380"/>
      <c r="BW19" s="1380"/>
      <c r="BX19" s="1380"/>
      <c r="BY19" s="1380"/>
      <c r="BZ19" s="1380"/>
      <c r="CA19" s="1380"/>
      <c r="CB19" s="1380"/>
      <c r="CC19" s="1380"/>
      <c r="CD19" s="1380"/>
      <c r="CE19" s="1380"/>
      <c r="CF19" s="1380"/>
      <c r="CG19" s="1380"/>
      <c r="CH19" s="1380"/>
      <c r="CI19" s="1380"/>
      <c r="CJ19" s="1380"/>
      <c r="CK19" s="1380"/>
      <c r="CL19" s="1380"/>
      <c r="CM19" s="1380"/>
      <c r="CN19" s="1380"/>
      <c r="CO19" s="1380"/>
      <c r="CP19" s="1380"/>
      <c r="CQ19" s="1380"/>
      <c r="CR19" s="1380"/>
      <c r="CS19" s="1380"/>
      <c r="CT19" s="1380"/>
      <c r="CU19" s="1380"/>
      <c r="CV19" s="1380"/>
      <c r="CW19" s="1380"/>
      <c r="CX19" s="1380"/>
      <c r="CY19" s="1380"/>
      <c r="CZ19" s="1380"/>
      <c r="DA19" s="1380"/>
      <c r="DB19" s="1380"/>
      <c r="DC19" s="1380"/>
      <c r="DD19" s="1380"/>
      <c r="DE19" s="1380"/>
      <c r="DF19" s="1380"/>
      <c r="DG19" s="1380"/>
      <c r="DH19" s="1380"/>
      <c r="DI19" s="1380"/>
      <c r="DJ19" s="1380"/>
      <c r="DK19" s="1380"/>
      <c r="DL19" s="1380"/>
      <c r="DM19" s="1380"/>
      <c r="DN19" s="1380"/>
      <c r="DO19" s="1380"/>
      <c r="DP19" s="1380"/>
      <c r="DQ19" s="1380"/>
      <c r="DR19" s="1380"/>
      <c r="DS19" s="1380"/>
      <c r="DT19" s="1380"/>
      <c r="DU19" s="1380"/>
      <c r="DV19" s="1380"/>
      <c r="DW19" s="1380"/>
      <c r="DX19" s="1380"/>
      <c r="DY19" s="1380"/>
      <c r="DZ19" s="1380"/>
      <c r="EA19" s="1380"/>
      <c r="EB19" s="1380"/>
      <c r="EC19" s="1380"/>
      <c r="ED19" s="1380"/>
      <c r="EE19" s="1380"/>
      <c r="EF19" s="1380"/>
      <c r="EG19" s="1380"/>
      <c r="EH19" s="1380"/>
      <c r="EI19" s="1380"/>
      <c r="EJ19" s="1380"/>
      <c r="EK19" s="1380"/>
      <c r="EL19" s="1380"/>
      <c r="EM19" s="1380"/>
      <c r="EN19" s="1380"/>
      <c r="EO19" s="1380"/>
      <c r="EP19" s="1380"/>
      <c r="EQ19" s="1380"/>
      <c r="ER19" s="1380"/>
      <c r="ES19" s="1380"/>
      <c r="ET19" s="1380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2"/>
      <c r="FK19" s="180"/>
      <c r="FL19" s="182"/>
      <c r="FM19" s="182"/>
    </row>
    <row r="20" spans="1:169" ht="3" customHeight="1">
      <c r="A20" s="183"/>
      <c r="B20" s="181"/>
      <c r="C20" s="191"/>
      <c r="D20" s="183"/>
      <c r="E20" s="183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380"/>
      <c r="U20" s="1380"/>
      <c r="V20" s="1380"/>
      <c r="W20" s="1380"/>
      <c r="X20" s="1380"/>
      <c r="Y20" s="1380"/>
      <c r="Z20" s="1380"/>
      <c r="AA20" s="1380"/>
      <c r="AB20" s="1380"/>
      <c r="AC20" s="1380"/>
      <c r="AD20" s="1380"/>
      <c r="AE20" s="1380"/>
      <c r="AF20" s="1380"/>
      <c r="AG20" s="1380"/>
      <c r="AH20" s="1380"/>
      <c r="AI20" s="1380"/>
      <c r="AJ20" s="1380"/>
      <c r="AK20" s="1380"/>
      <c r="AL20" s="1380"/>
      <c r="AM20" s="1380"/>
      <c r="AN20" s="1380"/>
      <c r="AO20" s="1380"/>
      <c r="AP20" s="1380"/>
      <c r="AQ20" s="1380"/>
      <c r="AR20" s="1380"/>
      <c r="AS20" s="1380"/>
      <c r="AT20" s="1380"/>
      <c r="AU20" s="1380"/>
      <c r="AV20" s="1380"/>
      <c r="AW20" s="1380"/>
      <c r="AX20" s="1380"/>
      <c r="AY20" s="1380"/>
      <c r="AZ20" s="1380"/>
      <c r="BA20" s="1380"/>
      <c r="BB20" s="1380"/>
      <c r="BC20" s="1380"/>
      <c r="BD20" s="1380"/>
      <c r="BE20" s="1380"/>
      <c r="BF20" s="1380"/>
      <c r="BG20" s="1380"/>
      <c r="BH20" s="1380"/>
      <c r="BI20" s="1380"/>
      <c r="BJ20" s="1380"/>
      <c r="BK20" s="1380"/>
      <c r="BL20" s="1380"/>
      <c r="BM20" s="1380"/>
      <c r="BN20" s="1380"/>
      <c r="BO20" s="1380"/>
      <c r="BP20" s="1380"/>
      <c r="BQ20" s="1380"/>
      <c r="BR20" s="1380"/>
      <c r="BS20" s="1380"/>
      <c r="BT20" s="1380"/>
      <c r="BU20" s="1380"/>
      <c r="BV20" s="1380"/>
      <c r="BW20" s="1380"/>
      <c r="BX20" s="1380"/>
      <c r="BY20" s="1380"/>
      <c r="BZ20" s="1380"/>
      <c r="CA20" s="1380"/>
      <c r="CB20" s="1380"/>
      <c r="CC20" s="1380"/>
      <c r="CD20" s="1380"/>
      <c r="CE20" s="1380"/>
      <c r="CF20" s="1380"/>
      <c r="CG20" s="1380"/>
      <c r="CH20" s="1380"/>
      <c r="CI20" s="1380"/>
      <c r="CJ20" s="1380"/>
      <c r="CK20" s="1380"/>
      <c r="CL20" s="1380"/>
      <c r="CM20" s="1380"/>
      <c r="CN20" s="1380"/>
      <c r="CO20" s="1380"/>
      <c r="CP20" s="1380"/>
      <c r="CQ20" s="1380"/>
      <c r="CR20" s="1380"/>
      <c r="CS20" s="1380"/>
      <c r="CT20" s="1380"/>
      <c r="CU20" s="1380"/>
      <c r="CV20" s="1380"/>
      <c r="CW20" s="1380"/>
      <c r="CX20" s="1380"/>
      <c r="CY20" s="1380"/>
      <c r="CZ20" s="1380"/>
      <c r="DA20" s="1380"/>
      <c r="DB20" s="1380"/>
      <c r="DC20" s="1380"/>
      <c r="DD20" s="1380"/>
      <c r="DE20" s="1380"/>
      <c r="DF20" s="1380"/>
      <c r="DG20" s="1380"/>
      <c r="DH20" s="1380"/>
      <c r="DI20" s="1380"/>
      <c r="DJ20" s="1380"/>
      <c r="DK20" s="1380"/>
      <c r="DL20" s="1380"/>
      <c r="DM20" s="1380"/>
      <c r="DN20" s="1380"/>
      <c r="DO20" s="1380"/>
      <c r="DP20" s="1380"/>
      <c r="DQ20" s="1380"/>
      <c r="DR20" s="1380"/>
      <c r="DS20" s="1380"/>
      <c r="DT20" s="1380"/>
      <c r="DU20" s="1380"/>
      <c r="DV20" s="1380"/>
      <c r="DW20" s="1380"/>
      <c r="DX20" s="1380"/>
      <c r="DY20" s="1380"/>
      <c r="DZ20" s="1380"/>
      <c r="EA20" s="1380"/>
      <c r="EB20" s="1380"/>
      <c r="EC20" s="1380"/>
      <c r="ED20" s="1380"/>
      <c r="EE20" s="1380"/>
      <c r="EF20" s="1380"/>
      <c r="EG20" s="1380"/>
      <c r="EH20" s="1380"/>
      <c r="EI20" s="1380"/>
      <c r="EJ20" s="1380"/>
      <c r="EK20" s="1380"/>
      <c r="EL20" s="1380"/>
      <c r="EM20" s="1380"/>
      <c r="EN20" s="1380"/>
      <c r="EO20" s="1380"/>
      <c r="EP20" s="1380"/>
      <c r="EQ20" s="1380"/>
      <c r="ER20" s="1380"/>
      <c r="ES20" s="1380"/>
      <c r="ET20" s="1380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2"/>
      <c r="FK20" s="183"/>
      <c r="FL20" s="190"/>
      <c r="FM20" s="182"/>
    </row>
    <row r="21" spans="1:169" ht="3" customHeight="1">
      <c r="A21" s="183"/>
      <c r="B21" s="179"/>
      <c r="D21" s="183"/>
      <c r="E21" s="183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380"/>
      <c r="U21" s="1380"/>
      <c r="V21" s="1380"/>
      <c r="W21" s="1380"/>
      <c r="X21" s="1380"/>
      <c r="Y21" s="1380"/>
      <c r="Z21" s="1380"/>
      <c r="AA21" s="1380"/>
      <c r="AB21" s="1380"/>
      <c r="AC21" s="1380"/>
      <c r="AD21" s="1380"/>
      <c r="AE21" s="1380"/>
      <c r="AF21" s="1380"/>
      <c r="AG21" s="1380"/>
      <c r="AH21" s="1380"/>
      <c r="AI21" s="1380"/>
      <c r="AJ21" s="1380"/>
      <c r="AK21" s="1380"/>
      <c r="AL21" s="1380"/>
      <c r="AM21" s="1380"/>
      <c r="AN21" s="1380"/>
      <c r="AO21" s="1380"/>
      <c r="AP21" s="1380"/>
      <c r="AQ21" s="1380"/>
      <c r="AR21" s="1380"/>
      <c r="AS21" s="1380"/>
      <c r="AT21" s="1380"/>
      <c r="AU21" s="1380"/>
      <c r="AV21" s="1380"/>
      <c r="AW21" s="1380"/>
      <c r="AX21" s="1380"/>
      <c r="AY21" s="1380"/>
      <c r="AZ21" s="1380"/>
      <c r="BA21" s="1380"/>
      <c r="BB21" s="1380"/>
      <c r="BC21" s="1380"/>
      <c r="BD21" s="1380"/>
      <c r="BE21" s="1380"/>
      <c r="BF21" s="1380"/>
      <c r="BG21" s="1380"/>
      <c r="BH21" s="1380"/>
      <c r="BI21" s="1380"/>
      <c r="BJ21" s="1380"/>
      <c r="BK21" s="1380"/>
      <c r="BL21" s="1380"/>
      <c r="BM21" s="1380"/>
      <c r="BN21" s="1380"/>
      <c r="BO21" s="1380"/>
      <c r="BP21" s="1380"/>
      <c r="BQ21" s="1380"/>
      <c r="BR21" s="1380"/>
      <c r="BS21" s="1380"/>
      <c r="BT21" s="1380"/>
      <c r="BU21" s="1380"/>
      <c r="BV21" s="1380"/>
      <c r="BW21" s="1380"/>
      <c r="BX21" s="1380"/>
      <c r="BY21" s="1380"/>
      <c r="BZ21" s="1380"/>
      <c r="CA21" s="1380"/>
      <c r="CB21" s="1380"/>
      <c r="CC21" s="1380"/>
      <c r="CD21" s="1380"/>
      <c r="CE21" s="1380"/>
      <c r="CF21" s="1380"/>
      <c r="CG21" s="1380"/>
      <c r="CH21" s="1380"/>
      <c r="CI21" s="1380"/>
      <c r="CJ21" s="1380"/>
      <c r="CK21" s="1380"/>
      <c r="CL21" s="1380"/>
      <c r="CM21" s="1380"/>
      <c r="CN21" s="1380"/>
      <c r="CO21" s="1380"/>
      <c r="CP21" s="1380"/>
      <c r="CQ21" s="1380"/>
      <c r="CR21" s="1380"/>
      <c r="CS21" s="1380"/>
      <c r="CT21" s="1380"/>
      <c r="CU21" s="1380"/>
      <c r="CV21" s="1380"/>
      <c r="CW21" s="1380"/>
      <c r="CX21" s="1380"/>
      <c r="CY21" s="1380"/>
      <c r="CZ21" s="1380"/>
      <c r="DA21" s="1380"/>
      <c r="DB21" s="1380"/>
      <c r="DC21" s="1380"/>
      <c r="DD21" s="1380"/>
      <c r="DE21" s="1380"/>
      <c r="DF21" s="1380"/>
      <c r="DG21" s="1380"/>
      <c r="DH21" s="1380"/>
      <c r="DI21" s="1380"/>
      <c r="DJ21" s="1380"/>
      <c r="DK21" s="1380"/>
      <c r="DL21" s="1380"/>
      <c r="DM21" s="1380"/>
      <c r="DN21" s="1380"/>
      <c r="DO21" s="1380"/>
      <c r="DP21" s="1380"/>
      <c r="DQ21" s="1380"/>
      <c r="DR21" s="1380"/>
      <c r="DS21" s="1380"/>
      <c r="DT21" s="1380"/>
      <c r="DU21" s="1380"/>
      <c r="DV21" s="1380"/>
      <c r="DW21" s="1380"/>
      <c r="DX21" s="1380"/>
      <c r="DY21" s="1380"/>
      <c r="DZ21" s="1380"/>
      <c r="EA21" s="1380"/>
      <c r="EB21" s="1380"/>
      <c r="EC21" s="1380"/>
      <c r="ED21" s="1380"/>
      <c r="EE21" s="1380"/>
      <c r="EF21" s="1380"/>
      <c r="EG21" s="1380"/>
      <c r="EH21" s="1380"/>
      <c r="EI21" s="1380"/>
      <c r="EJ21" s="1380"/>
      <c r="EK21" s="1380"/>
      <c r="EL21" s="1380"/>
      <c r="EM21" s="1380"/>
      <c r="EN21" s="1380"/>
      <c r="EO21" s="1380"/>
      <c r="EP21" s="1380"/>
      <c r="EQ21" s="1380"/>
      <c r="ER21" s="1380"/>
      <c r="ES21" s="1380"/>
      <c r="ET21" s="1380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2"/>
      <c r="FK21" s="183"/>
      <c r="FL21" s="180"/>
      <c r="FM21" s="182"/>
    </row>
    <row r="22" spans="1:169" ht="21" customHeight="1">
      <c r="A22" s="183"/>
      <c r="B22" s="191"/>
      <c r="C22" s="190"/>
      <c r="D22" s="183"/>
      <c r="E22" s="183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380"/>
      <c r="U22" s="1380"/>
      <c r="V22" s="1380"/>
      <c r="W22" s="1380"/>
      <c r="X22" s="1380"/>
      <c r="Y22" s="1380"/>
      <c r="Z22" s="1380"/>
      <c r="AA22" s="1380"/>
      <c r="AB22" s="1380"/>
      <c r="AC22" s="1380"/>
      <c r="AD22" s="1380"/>
      <c r="AE22" s="1380"/>
      <c r="AF22" s="1380"/>
      <c r="AG22" s="1380"/>
      <c r="AH22" s="1380"/>
      <c r="AI22" s="1380"/>
      <c r="AJ22" s="1380"/>
      <c r="AK22" s="1380"/>
      <c r="AL22" s="1380"/>
      <c r="AM22" s="1380"/>
      <c r="AN22" s="1380"/>
      <c r="AO22" s="1380"/>
      <c r="AP22" s="1380"/>
      <c r="AQ22" s="1380"/>
      <c r="AR22" s="1380"/>
      <c r="AS22" s="1380"/>
      <c r="AT22" s="1380"/>
      <c r="AU22" s="1380"/>
      <c r="AV22" s="1380"/>
      <c r="AW22" s="1380"/>
      <c r="AX22" s="1380"/>
      <c r="AY22" s="1380"/>
      <c r="AZ22" s="1380"/>
      <c r="BA22" s="1380"/>
      <c r="BB22" s="1380"/>
      <c r="BC22" s="1380"/>
      <c r="BD22" s="1380"/>
      <c r="BE22" s="1380"/>
      <c r="BF22" s="1380"/>
      <c r="BG22" s="1380"/>
      <c r="BH22" s="1380"/>
      <c r="BI22" s="1380"/>
      <c r="BJ22" s="1380"/>
      <c r="BK22" s="1380"/>
      <c r="BL22" s="1380"/>
      <c r="BM22" s="1380"/>
      <c r="BN22" s="1380"/>
      <c r="BO22" s="1380"/>
      <c r="BP22" s="1380"/>
      <c r="BQ22" s="1380"/>
      <c r="BR22" s="1380"/>
      <c r="BS22" s="1380"/>
      <c r="BT22" s="1380"/>
      <c r="BU22" s="1380"/>
      <c r="BV22" s="1380"/>
      <c r="BW22" s="1380"/>
      <c r="BX22" s="1380"/>
      <c r="BY22" s="1380"/>
      <c r="BZ22" s="1380"/>
      <c r="CA22" s="1380"/>
      <c r="CB22" s="1380"/>
      <c r="CC22" s="1380"/>
      <c r="CD22" s="1380"/>
      <c r="CE22" s="1380"/>
      <c r="CF22" s="1380"/>
      <c r="CG22" s="1380"/>
      <c r="CH22" s="1380"/>
      <c r="CI22" s="1380"/>
      <c r="CJ22" s="1380"/>
      <c r="CK22" s="1380"/>
      <c r="CL22" s="1380"/>
      <c r="CM22" s="1380"/>
      <c r="CN22" s="1380"/>
      <c r="CO22" s="1380"/>
      <c r="CP22" s="1380"/>
      <c r="CQ22" s="1380"/>
      <c r="CR22" s="1380"/>
      <c r="CS22" s="1380"/>
      <c r="CT22" s="1380"/>
      <c r="CU22" s="1380"/>
      <c r="CV22" s="1380"/>
      <c r="CW22" s="1380"/>
      <c r="CX22" s="1380"/>
      <c r="CY22" s="1380"/>
      <c r="CZ22" s="1380"/>
      <c r="DA22" s="1380"/>
      <c r="DB22" s="1380"/>
      <c r="DC22" s="1380"/>
      <c r="DD22" s="1380"/>
      <c r="DE22" s="1380"/>
      <c r="DF22" s="1380"/>
      <c r="DG22" s="1380"/>
      <c r="DH22" s="1380"/>
      <c r="DI22" s="1380"/>
      <c r="DJ22" s="1380"/>
      <c r="DK22" s="1380"/>
      <c r="DL22" s="1380"/>
      <c r="DM22" s="1380"/>
      <c r="DN22" s="1380"/>
      <c r="DO22" s="1380"/>
      <c r="DP22" s="1380"/>
      <c r="DQ22" s="1380"/>
      <c r="DR22" s="1380"/>
      <c r="DS22" s="1380"/>
      <c r="DT22" s="1380"/>
      <c r="DU22" s="1380"/>
      <c r="DV22" s="1380"/>
      <c r="DW22" s="1380"/>
      <c r="DX22" s="1380"/>
      <c r="DY22" s="1380"/>
      <c r="DZ22" s="1380"/>
      <c r="EA22" s="1380"/>
      <c r="EB22" s="1380"/>
      <c r="EC22" s="1380"/>
      <c r="ED22" s="1380"/>
      <c r="EE22" s="1380"/>
      <c r="EF22" s="1380"/>
      <c r="EG22" s="1380"/>
      <c r="EH22" s="1380"/>
      <c r="EI22" s="1380"/>
      <c r="EJ22" s="1380"/>
      <c r="EK22" s="1380"/>
      <c r="EL22" s="1380"/>
      <c r="EM22" s="1380"/>
      <c r="EN22" s="1380"/>
      <c r="EO22" s="1380"/>
      <c r="EP22" s="1380"/>
      <c r="EQ22" s="1380"/>
      <c r="ER22" s="1380"/>
      <c r="ES22" s="1380"/>
      <c r="ET22" s="1380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2"/>
      <c r="FK22" s="190"/>
      <c r="FL22" s="182"/>
      <c r="FM22" s="182"/>
    </row>
    <row r="23" spans="1:169" ht="3" customHeight="1">
      <c r="A23" s="183"/>
      <c r="B23" s="183"/>
      <c r="C23" s="179"/>
      <c r="E23" s="183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2"/>
      <c r="FK23" s="180"/>
      <c r="FL23" s="182"/>
      <c r="FM23" s="182"/>
    </row>
    <row r="24" spans="1:169" ht="3" customHeight="1">
      <c r="A24" s="183"/>
      <c r="B24" s="190"/>
      <c r="C24" s="183"/>
      <c r="D24" s="183"/>
      <c r="E24" s="183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2"/>
      <c r="FK24" s="183"/>
      <c r="FL24" s="190"/>
      <c r="FM24" s="182"/>
    </row>
    <row r="25" spans="1:169" ht="3" customHeight="1">
      <c r="A25" s="183"/>
      <c r="B25" s="179"/>
      <c r="D25" s="183"/>
      <c r="E25" s="183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2"/>
      <c r="FK25" s="183"/>
      <c r="FL25" s="180"/>
      <c r="FM25" s="182"/>
    </row>
    <row r="26" spans="1:169" ht="3" customHeight="1">
      <c r="A26" s="183"/>
      <c r="B26" s="191"/>
      <c r="C26" s="190"/>
      <c r="D26" s="183"/>
      <c r="E26" s="183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2"/>
      <c r="FK26" s="190"/>
      <c r="FL26" s="182"/>
      <c r="FM26" s="182"/>
    </row>
    <row r="27" spans="1:169" ht="3" customHeight="1">
      <c r="A27" s="183"/>
      <c r="B27" s="183"/>
      <c r="C27" s="179"/>
      <c r="E27" s="183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2"/>
      <c r="FK27" s="180"/>
      <c r="FL27" s="182"/>
      <c r="FM27" s="182"/>
    </row>
    <row r="28" spans="1:169" ht="3" customHeight="1">
      <c r="A28" s="183"/>
      <c r="B28" s="181"/>
      <c r="C28" s="191"/>
      <c r="D28" s="183"/>
      <c r="E28" s="183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2"/>
      <c r="FK28" s="183"/>
      <c r="FL28" s="190"/>
      <c r="FM28" s="182"/>
    </row>
    <row r="29" spans="1:169" ht="3" customHeight="1">
      <c r="A29" s="183"/>
      <c r="B29" s="179"/>
      <c r="D29" s="183"/>
      <c r="E29" s="183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2"/>
      <c r="FK29" s="183"/>
      <c r="FL29" s="180"/>
      <c r="FM29" s="182"/>
    </row>
    <row r="30" spans="1:169" ht="3" customHeight="1">
      <c r="A30" s="183"/>
      <c r="B30" s="191"/>
      <c r="C30" s="190"/>
      <c r="D30" s="183"/>
      <c r="E30" s="183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2"/>
      <c r="FK30" s="190"/>
      <c r="FL30" s="182"/>
      <c r="FM30" s="182"/>
    </row>
    <row r="31" spans="1:169" ht="3" customHeight="1">
      <c r="A31" s="183"/>
      <c r="B31" s="183"/>
      <c r="C31" s="179"/>
      <c r="E31" s="183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2"/>
      <c r="FK31" s="180"/>
      <c r="FL31" s="182"/>
      <c r="FM31" s="182"/>
    </row>
    <row r="32" spans="1:169" ht="3" customHeight="1">
      <c r="A32" s="183"/>
      <c r="B32" s="190"/>
      <c r="C32" s="183"/>
      <c r="D32" s="183"/>
      <c r="E32" s="183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2"/>
      <c r="FK32" s="183"/>
      <c r="FL32" s="190"/>
      <c r="FM32" s="182"/>
    </row>
    <row r="33" spans="1:169" ht="3" customHeight="1">
      <c r="A33" s="183"/>
      <c r="B33" s="179"/>
      <c r="D33" s="183"/>
      <c r="E33" s="183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2"/>
      <c r="FK33" s="183"/>
      <c r="FL33" s="180"/>
      <c r="FM33" s="182"/>
    </row>
    <row r="34" spans="1:169" ht="3" customHeight="1">
      <c r="A34" s="183"/>
      <c r="B34" s="191"/>
      <c r="C34" s="190"/>
      <c r="D34" s="183"/>
      <c r="E34" s="183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2"/>
      <c r="FK34" s="190"/>
      <c r="FL34" s="182"/>
      <c r="FM34" s="182"/>
    </row>
    <row r="35" spans="1:169" ht="3" customHeight="1">
      <c r="A35" s="183"/>
      <c r="B35" s="183"/>
      <c r="C35" s="179"/>
      <c r="E35" s="183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2"/>
      <c r="FK35" s="180"/>
      <c r="FL35" s="182"/>
      <c r="FM35" s="182"/>
    </row>
    <row r="36" spans="1:169" ht="3" customHeight="1">
      <c r="A36" s="183"/>
      <c r="B36" s="181"/>
      <c r="C36" s="191"/>
      <c r="D36" s="183"/>
      <c r="E36" s="183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2"/>
      <c r="FK36" s="183"/>
      <c r="FL36" s="190"/>
      <c r="FM36" s="182"/>
    </row>
    <row r="37" spans="1:169" ht="3" customHeight="1">
      <c r="A37" s="183"/>
      <c r="B37" s="179"/>
      <c r="D37" s="183"/>
      <c r="E37" s="183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2"/>
      <c r="FK37" s="183"/>
      <c r="FL37" s="180"/>
      <c r="FM37" s="182"/>
    </row>
    <row r="38" spans="1:169" ht="3" customHeight="1">
      <c r="A38" s="183"/>
      <c r="B38" s="191"/>
      <c r="C38" s="190"/>
      <c r="D38" s="183"/>
      <c r="E38" s="183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2"/>
      <c r="FK38" s="190"/>
      <c r="FL38" s="182"/>
      <c r="FM38" s="182"/>
    </row>
    <row r="39" spans="1:169" ht="3" customHeight="1">
      <c r="A39" s="183"/>
      <c r="B39" s="183"/>
      <c r="C39" s="179"/>
      <c r="E39" s="183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2"/>
      <c r="FK39" s="180"/>
      <c r="FL39" s="182"/>
      <c r="FM39" s="182"/>
    </row>
    <row r="40" spans="1:169" ht="3" customHeight="1">
      <c r="A40" s="183"/>
      <c r="B40" s="190"/>
      <c r="C40" s="183"/>
      <c r="D40" s="183"/>
      <c r="E40" s="183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2"/>
      <c r="FK40" s="183"/>
      <c r="FL40" s="190"/>
      <c r="FM40" s="182"/>
    </row>
    <row r="41" spans="1:169" ht="3" customHeight="1">
      <c r="A41" s="183"/>
      <c r="B41" s="179"/>
      <c r="D41" s="183"/>
      <c r="E41" s="183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2"/>
      <c r="FK41" s="183"/>
      <c r="FL41" s="180"/>
      <c r="FM41" s="182"/>
    </row>
    <row r="42" spans="1:169" ht="3" customHeight="1">
      <c r="A42" s="183"/>
      <c r="B42" s="191"/>
      <c r="C42" s="190"/>
      <c r="D42" s="183"/>
      <c r="E42" s="183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2"/>
      <c r="FK42" s="190"/>
      <c r="FL42" s="182"/>
      <c r="FM42" s="182"/>
    </row>
    <row r="43" spans="1:169" ht="3" customHeight="1">
      <c r="A43" s="183"/>
      <c r="B43" s="183"/>
      <c r="C43" s="179"/>
      <c r="E43" s="183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2"/>
      <c r="FK43" s="180"/>
      <c r="FL43" s="182"/>
      <c r="FM43" s="182"/>
    </row>
    <row r="44" spans="1:169" ht="3" customHeight="1">
      <c r="A44" s="183"/>
      <c r="B44" s="181"/>
      <c r="C44" s="191"/>
      <c r="D44" s="183"/>
      <c r="E44" s="183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2"/>
      <c r="FK44" s="183"/>
      <c r="FL44" s="190"/>
      <c r="FM44" s="182"/>
    </row>
    <row r="45" spans="1:169" ht="3" customHeight="1">
      <c r="A45" s="183"/>
      <c r="B45" s="179"/>
      <c r="D45" s="183"/>
      <c r="E45" s="183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2"/>
      <c r="FK45" s="183"/>
      <c r="FL45" s="180"/>
      <c r="FM45" s="182"/>
    </row>
    <row r="46" spans="1:169" ht="3" customHeight="1">
      <c r="A46" s="183"/>
      <c r="B46" s="191"/>
      <c r="C46" s="190"/>
      <c r="D46" s="183"/>
      <c r="E46" s="183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2"/>
      <c r="FK46" s="190"/>
      <c r="FL46" s="182"/>
      <c r="FM46" s="182"/>
    </row>
    <row r="47" spans="1:169" ht="3" customHeight="1">
      <c r="A47" s="183"/>
      <c r="B47" s="183"/>
      <c r="C47" s="179"/>
      <c r="E47" s="183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2"/>
      <c r="FK47" s="180"/>
      <c r="FL47" s="182"/>
      <c r="FM47" s="182"/>
    </row>
    <row r="48" spans="1:169" ht="3" customHeight="1">
      <c r="A48" s="183"/>
      <c r="B48" s="190"/>
      <c r="C48" s="183"/>
      <c r="D48" s="183"/>
      <c r="E48" s="183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2"/>
      <c r="FK48" s="183"/>
      <c r="FL48" s="190"/>
      <c r="FM48" s="182"/>
    </row>
    <row r="49" spans="1:169" ht="3" customHeight="1">
      <c r="A49" s="183"/>
      <c r="B49" s="179"/>
      <c r="D49" s="183"/>
      <c r="E49" s="183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2"/>
      <c r="FK49" s="183"/>
      <c r="FL49" s="180"/>
      <c r="FM49" s="182"/>
    </row>
    <row r="50" spans="1:169" ht="3" customHeight="1">
      <c r="A50" s="183"/>
      <c r="B50" s="191"/>
      <c r="C50" s="190"/>
      <c r="D50" s="183"/>
      <c r="E50" s="183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2"/>
      <c r="FK50" s="190"/>
      <c r="FL50" s="182"/>
      <c r="FM50" s="182"/>
    </row>
    <row r="51" spans="1:169" ht="3" customHeight="1">
      <c r="A51" s="183"/>
      <c r="B51" s="183"/>
      <c r="C51" s="179"/>
      <c r="E51" s="183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186"/>
      <c r="DN51" s="186"/>
      <c r="DO51" s="186"/>
      <c r="DP51" s="186"/>
      <c r="DQ51" s="186"/>
      <c r="DR51" s="186"/>
      <c r="DS51" s="186"/>
      <c r="DT51" s="186"/>
      <c r="DU51" s="186"/>
      <c r="DV51" s="186"/>
      <c r="DW51" s="186"/>
      <c r="DX51" s="186"/>
      <c r="DY51" s="186"/>
      <c r="DZ51" s="186"/>
      <c r="EA51" s="186"/>
      <c r="EB51" s="186"/>
      <c r="EC51" s="186"/>
      <c r="ED51" s="186"/>
      <c r="EE51" s="186"/>
      <c r="EF51" s="186"/>
      <c r="EG51" s="186"/>
      <c r="EH51" s="186"/>
      <c r="EI51" s="186"/>
      <c r="EJ51" s="186"/>
      <c r="EK51" s="186"/>
      <c r="EL51" s="186"/>
      <c r="EM51" s="186"/>
      <c r="EN51" s="186"/>
      <c r="EO51" s="186"/>
      <c r="EP51" s="186"/>
      <c r="EQ51" s="186"/>
      <c r="ER51" s="186"/>
      <c r="ES51" s="186"/>
      <c r="ET51" s="186"/>
      <c r="EU51" s="186"/>
      <c r="EV51" s="186"/>
      <c r="EW51" s="186"/>
      <c r="EX51" s="186"/>
      <c r="EY51" s="186"/>
      <c r="EZ51" s="186"/>
      <c r="FA51" s="186"/>
      <c r="FB51" s="186"/>
      <c r="FC51" s="186"/>
      <c r="FD51" s="186"/>
      <c r="FE51" s="186"/>
      <c r="FF51" s="186"/>
      <c r="FG51" s="186"/>
      <c r="FH51" s="186"/>
      <c r="FI51" s="182"/>
      <c r="FK51" s="180"/>
      <c r="FL51" s="182"/>
      <c r="FM51" s="182"/>
    </row>
    <row r="52" spans="1:169" ht="3" customHeight="1">
      <c r="A52" s="183"/>
      <c r="B52" s="181"/>
      <c r="C52" s="191"/>
      <c r="D52" s="183"/>
      <c r="E52" s="183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2"/>
      <c r="FK52" s="183"/>
      <c r="FL52" s="190"/>
      <c r="FM52" s="182"/>
    </row>
    <row r="53" spans="1:169" ht="3" customHeight="1">
      <c r="A53" s="183"/>
      <c r="B53" s="179"/>
      <c r="D53" s="183"/>
      <c r="E53" s="183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2"/>
      <c r="FK53" s="183"/>
      <c r="FL53" s="180"/>
      <c r="FM53" s="182"/>
    </row>
    <row r="54" spans="1:169" ht="3" customHeight="1">
      <c r="A54" s="183"/>
      <c r="B54" s="191"/>
      <c r="C54" s="190"/>
      <c r="D54" s="183"/>
      <c r="E54" s="183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2"/>
      <c r="FK54" s="190"/>
      <c r="FL54" s="182"/>
      <c r="FM54" s="182"/>
    </row>
    <row r="55" spans="1:169" ht="3" customHeight="1">
      <c r="A55" s="183"/>
      <c r="B55" s="183"/>
      <c r="C55" s="179"/>
      <c r="E55" s="183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2"/>
      <c r="FK55" s="180"/>
      <c r="FL55" s="182"/>
      <c r="FM55" s="182"/>
    </row>
    <row r="56" spans="1:169" ht="3" customHeight="1">
      <c r="A56" s="183"/>
      <c r="B56" s="190"/>
      <c r="C56" s="183"/>
      <c r="D56" s="183"/>
      <c r="E56" s="183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2"/>
      <c r="FK56" s="183"/>
      <c r="FL56" s="190"/>
      <c r="FM56" s="182"/>
    </row>
    <row r="57" spans="1:169" ht="3" customHeight="1">
      <c r="A57" s="183"/>
      <c r="B57" s="179"/>
      <c r="D57" s="183"/>
      <c r="E57" s="183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2"/>
      <c r="FK57" s="183"/>
      <c r="FL57" s="180"/>
      <c r="FM57" s="182"/>
    </row>
    <row r="58" spans="1:169" ht="3" customHeight="1">
      <c r="A58" s="183"/>
      <c r="B58" s="191"/>
      <c r="C58" s="190"/>
      <c r="D58" s="183"/>
      <c r="E58" s="183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2"/>
      <c r="FK58" s="190"/>
      <c r="FL58" s="182"/>
      <c r="FM58" s="182"/>
    </row>
    <row r="59" spans="1:169" ht="3" customHeight="1">
      <c r="A59" s="183"/>
      <c r="B59" s="183"/>
      <c r="C59" s="179"/>
      <c r="E59" s="183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2"/>
      <c r="FK59" s="180"/>
      <c r="FL59" s="182"/>
      <c r="FM59" s="182"/>
    </row>
    <row r="60" spans="1:169" ht="3" customHeight="1">
      <c r="A60" s="183"/>
      <c r="B60" s="181"/>
      <c r="C60" s="191"/>
      <c r="D60" s="183"/>
      <c r="E60" s="183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2"/>
      <c r="FK60" s="183"/>
      <c r="FL60" s="190"/>
      <c r="FM60" s="182"/>
    </row>
    <row r="61" spans="1:169" ht="3" customHeight="1">
      <c r="A61" s="183"/>
      <c r="B61" s="179"/>
      <c r="D61" s="183"/>
      <c r="E61" s="183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2"/>
      <c r="FK61" s="183"/>
      <c r="FL61" s="180"/>
      <c r="FM61" s="182"/>
    </row>
    <row r="62" spans="1:169" ht="3" customHeight="1">
      <c r="A62" s="183"/>
      <c r="B62" s="191"/>
      <c r="C62" s="190"/>
      <c r="D62" s="183"/>
      <c r="E62" s="183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2"/>
      <c r="FK62" s="190"/>
      <c r="FL62" s="182"/>
      <c r="FM62" s="182"/>
    </row>
    <row r="63" spans="1:169" ht="3" customHeight="1">
      <c r="A63" s="183"/>
      <c r="B63" s="183"/>
      <c r="C63" s="179"/>
      <c r="E63" s="183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2"/>
      <c r="FK63" s="180"/>
      <c r="FL63" s="182"/>
      <c r="FM63" s="182"/>
    </row>
    <row r="64" spans="1:169" ht="3" customHeight="1">
      <c r="A64" s="183"/>
      <c r="B64" s="190"/>
      <c r="C64" s="183"/>
      <c r="D64" s="183"/>
      <c r="E64" s="183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2"/>
      <c r="FK64" s="183"/>
      <c r="FL64" s="190"/>
      <c r="FM64" s="182"/>
    </row>
    <row r="65" spans="1:169" ht="3" customHeight="1">
      <c r="A65" s="183"/>
      <c r="B65" s="179"/>
      <c r="D65" s="183"/>
      <c r="E65" s="183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2"/>
      <c r="FK65" s="183"/>
      <c r="FL65" s="180"/>
      <c r="FM65" s="182"/>
    </row>
    <row r="66" spans="1:169" ht="3" customHeight="1">
      <c r="A66" s="183"/>
      <c r="B66" s="191"/>
      <c r="C66" s="190"/>
      <c r="D66" s="183"/>
      <c r="E66" s="183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2"/>
      <c r="FK66" s="190"/>
      <c r="FL66" s="182"/>
      <c r="FM66" s="182"/>
    </row>
    <row r="67" spans="1:169" ht="3" customHeight="1">
      <c r="A67" s="183"/>
      <c r="B67" s="183"/>
      <c r="C67" s="179"/>
      <c r="E67" s="183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2"/>
      <c r="FK67" s="180"/>
      <c r="FL67" s="182"/>
      <c r="FM67" s="182"/>
    </row>
    <row r="68" spans="1:169" ht="3" customHeight="1">
      <c r="A68" s="183"/>
      <c r="B68" s="181"/>
      <c r="C68" s="191"/>
      <c r="D68" s="183"/>
      <c r="E68" s="183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2"/>
      <c r="FK68" s="183"/>
      <c r="FL68" s="190"/>
      <c r="FM68" s="182"/>
    </row>
    <row r="69" spans="1:169" ht="3" customHeight="1">
      <c r="A69" s="183"/>
      <c r="B69" s="179"/>
      <c r="D69" s="183"/>
      <c r="E69" s="183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2"/>
      <c r="FK69" s="183"/>
      <c r="FL69" s="180"/>
      <c r="FM69" s="182"/>
    </row>
    <row r="70" spans="1:169" ht="3" customHeight="1">
      <c r="A70" s="183"/>
      <c r="B70" s="191"/>
      <c r="C70" s="190"/>
      <c r="D70" s="183"/>
      <c r="E70" s="183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2"/>
      <c r="FK70" s="190"/>
      <c r="FL70" s="182"/>
      <c r="FM70" s="182"/>
    </row>
    <row r="71" spans="1:169" ht="3" customHeight="1">
      <c r="A71" s="183"/>
      <c r="B71" s="183"/>
      <c r="C71" s="179"/>
      <c r="E71" s="183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2"/>
      <c r="FK71" s="180"/>
      <c r="FL71" s="182"/>
      <c r="FM71" s="182"/>
    </row>
    <row r="72" spans="1:169" ht="3" customHeight="1">
      <c r="A72" s="183"/>
      <c r="B72" s="190"/>
      <c r="C72" s="183"/>
      <c r="D72" s="183"/>
      <c r="E72" s="183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2"/>
      <c r="FK72" s="183"/>
      <c r="FL72" s="190"/>
      <c r="FM72" s="182"/>
    </row>
    <row r="73" spans="1:169" ht="3" customHeight="1">
      <c r="A73" s="183"/>
      <c r="B73" s="179"/>
      <c r="D73" s="183"/>
      <c r="E73" s="183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2"/>
      <c r="FK73" s="183"/>
      <c r="FL73" s="180"/>
      <c r="FM73" s="182"/>
    </row>
    <row r="74" spans="1:169" ht="3" customHeight="1">
      <c r="A74" s="183"/>
      <c r="B74" s="191"/>
      <c r="C74" s="190"/>
      <c r="D74" s="183"/>
      <c r="E74" s="183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6"/>
      <c r="FI74" s="182"/>
      <c r="FK74" s="190"/>
      <c r="FL74" s="182"/>
      <c r="FM74" s="182"/>
    </row>
    <row r="75" spans="1:169" ht="3" customHeight="1">
      <c r="A75" s="183"/>
      <c r="B75" s="183"/>
      <c r="C75" s="179"/>
      <c r="E75" s="183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2"/>
      <c r="FK75" s="180"/>
      <c r="FL75" s="182"/>
      <c r="FM75" s="182"/>
    </row>
    <row r="76" spans="1:169" ht="3" customHeight="1">
      <c r="A76" s="183"/>
      <c r="B76" s="181"/>
      <c r="C76" s="191"/>
      <c r="D76" s="183"/>
      <c r="E76" s="183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2"/>
      <c r="FK76" s="183"/>
      <c r="FL76" s="190"/>
      <c r="FM76" s="182"/>
    </row>
    <row r="77" spans="1:169" ht="3" customHeight="1">
      <c r="A77" s="183"/>
      <c r="B77" s="179"/>
      <c r="D77" s="183"/>
      <c r="E77" s="183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2"/>
      <c r="FK77" s="183"/>
      <c r="FL77" s="180"/>
      <c r="FM77" s="182"/>
    </row>
    <row r="78" spans="1:169" ht="3" customHeight="1">
      <c r="A78" s="183"/>
      <c r="B78" s="191"/>
      <c r="C78" s="190"/>
      <c r="D78" s="183"/>
      <c r="E78" s="183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2"/>
      <c r="FK78" s="190"/>
      <c r="FL78" s="182"/>
      <c r="FM78" s="182"/>
    </row>
    <row r="79" spans="1:169" ht="3" customHeight="1">
      <c r="A79" s="183"/>
      <c r="B79" s="183"/>
      <c r="C79" s="179"/>
      <c r="E79" s="183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  <c r="DO79" s="186"/>
      <c r="DP79" s="186"/>
      <c r="DQ79" s="186"/>
      <c r="DR79" s="186"/>
      <c r="DS79" s="186"/>
      <c r="DT79" s="186"/>
      <c r="DU79" s="186"/>
      <c r="DV79" s="186"/>
      <c r="DW79" s="186"/>
      <c r="DX79" s="186"/>
      <c r="DY79" s="186"/>
      <c r="DZ79" s="186"/>
      <c r="EA79" s="186"/>
      <c r="EB79" s="186"/>
      <c r="EC79" s="186"/>
      <c r="ED79" s="186"/>
      <c r="EE79" s="186"/>
      <c r="EF79" s="186"/>
      <c r="EG79" s="186"/>
      <c r="EH79" s="186"/>
      <c r="EI79" s="186"/>
      <c r="EJ79" s="186"/>
      <c r="EK79" s="186"/>
      <c r="EL79" s="186"/>
      <c r="EM79" s="186"/>
      <c r="EN79" s="186"/>
      <c r="EO79" s="186"/>
      <c r="EP79" s="186"/>
      <c r="EQ79" s="186"/>
      <c r="ER79" s="186"/>
      <c r="ES79" s="186"/>
      <c r="ET79" s="186"/>
      <c r="EU79" s="186"/>
      <c r="EV79" s="186"/>
      <c r="EW79" s="186"/>
      <c r="EX79" s="186"/>
      <c r="EY79" s="186"/>
      <c r="EZ79" s="186"/>
      <c r="FA79" s="186"/>
      <c r="FB79" s="186"/>
      <c r="FC79" s="186"/>
      <c r="FD79" s="186"/>
      <c r="FE79" s="186"/>
      <c r="FF79" s="186"/>
      <c r="FG79" s="186"/>
      <c r="FH79" s="186"/>
      <c r="FI79" s="182"/>
      <c r="FK79" s="180"/>
      <c r="FL79" s="182"/>
      <c r="FM79" s="182"/>
    </row>
    <row r="80" spans="1:169" ht="3" customHeight="1">
      <c r="A80" s="183"/>
      <c r="B80" s="190"/>
      <c r="C80" s="183"/>
      <c r="D80" s="183"/>
      <c r="E80" s="183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2"/>
      <c r="FK80" s="183"/>
      <c r="FL80" s="190"/>
      <c r="FM80" s="182"/>
    </row>
    <row r="81" spans="1:169" ht="3" customHeight="1">
      <c r="A81" s="183"/>
      <c r="B81" s="179"/>
      <c r="D81" s="183"/>
      <c r="E81" s="183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2"/>
      <c r="FK81" s="183"/>
      <c r="FL81" s="180"/>
      <c r="FM81" s="182"/>
    </row>
    <row r="82" spans="1:169" ht="3" customHeight="1">
      <c r="A82" s="183"/>
      <c r="B82" s="191"/>
      <c r="C82" s="190"/>
      <c r="D82" s="183"/>
      <c r="E82" s="183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2"/>
      <c r="FK82" s="190"/>
      <c r="FL82" s="182"/>
      <c r="FM82" s="182"/>
    </row>
    <row r="83" spans="1:169" ht="3" customHeight="1">
      <c r="A83" s="183"/>
      <c r="B83" s="183"/>
      <c r="C83" s="179"/>
      <c r="E83" s="183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2"/>
      <c r="FK83" s="180"/>
      <c r="FL83" s="182"/>
      <c r="FM83" s="182"/>
    </row>
    <row r="84" spans="1:169" ht="3" customHeight="1">
      <c r="A84" s="183"/>
      <c r="B84" s="181"/>
      <c r="C84" s="191"/>
      <c r="D84" s="183"/>
      <c r="E84" s="183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93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2"/>
      <c r="FK84" s="183"/>
      <c r="FL84" s="190"/>
      <c r="FM84" s="182"/>
    </row>
    <row r="85" spans="1:169" ht="3" customHeight="1">
      <c r="A85" s="183"/>
      <c r="B85" s="179"/>
      <c r="D85" s="183"/>
      <c r="E85" s="183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368" t="s">
        <v>2414</v>
      </c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2"/>
      <c r="FK85" s="183"/>
      <c r="FL85" s="180"/>
      <c r="FM85" s="182"/>
    </row>
    <row r="86" spans="1:169" ht="3" customHeight="1">
      <c r="A86" s="183"/>
      <c r="B86" s="191"/>
      <c r="C86" s="190"/>
      <c r="D86" s="183"/>
      <c r="E86" s="183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2"/>
      <c r="FK86" s="190"/>
      <c r="FL86" s="182"/>
      <c r="FM86" s="182"/>
    </row>
    <row r="87" spans="1:169" ht="3" customHeight="1">
      <c r="A87" s="183"/>
      <c r="B87" s="183"/>
      <c r="C87" s="179"/>
      <c r="E87" s="183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2"/>
      <c r="FK87" s="180"/>
      <c r="FL87" s="182"/>
      <c r="FM87" s="182"/>
    </row>
    <row r="88" spans="1:169" ht="3" customHeight="1">
      <c r="A88" s="183"/>
      <c r="B88" s="190"/>
      <c r="C88" s="183"/>
      <c r="D88" s="183"/>
      <c r="E88" s="183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2"/>
      <c r="FK88" s="183"/>
      <c r="FL88" s="190"/>
      <c r="FM88" s="182"/>
    </row>
    <row r="89" spans="1:169" ht="3" customHeight="1">
      <c r="A89" s="183"/>
      <c r="B89" s="179"/>
      <c r="D89" s="183"/>
      <c r="E89" s="183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2"/>
      <c r="FK89" s="183"/>
      <c r="FL89" s="180"/>
      <c r="FM89" s="182"/>
    </row>
    <row r="90" spans="1:169" ht="3" customHeight="1">
      <c r="A90" s="183"/>
      <c r="B90" s="191"/>
      <c r="C90" s="190"/>
      <c r="D90" s="183"/>
      <c r="E90" s="183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2"/>
      <c r="FK90" s="190"/>
      <c r="FL90" s="182"/>
      <c r="FM90" s="182"/>
    </row>
    <row r="91" spans="1:169" ht="3" customHeight="1">
      <c r="A91" s="183"/>
      <c r="B91" s="183"/>
      <c r="C91" s="179"/>
      <c r="E91" s="183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2"/>
      <c r="FK91" s="180"/>
      <c r="FL91" s="182"/>
      <c r="FM91" s="182"/>
    </row>
    <row r="92" spans="1:169" ht="3" customHeight="1">
      <c r="A92" s="183"/>
      <c r="B92" s="181"/>
      <c r="C92" s="191"/>
      <c r="D92" s="183"/>
      <c r="E92" s="183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2"/>
      <c r="FK92" s="183"/>
      <c r="FL92" s="190"/>
      <c r="FM92" s="182"/>
    </row>
    <row r="93" spans="1:169" ht="3" customHeight="1">
      <c r="A93" s="183"/>
      <c r="B93" s="179"/>
      <c r="D93" s="183"/>
      <c r="E93" s="183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  <c r="BX93" s="186"/>
      <c r="BY93" s="186"/>
      <c r="BZ93" s="186"/>
      <c r="CA93" s="186"/>
      <c r="CB93" s="186"/>
      <c r="CC93" s="186"/>
      <c r="CD93" s="186"/>
      <c r="CE93" s="186"/>
      <c r="CF93" s="186"/>
      <c r="CG93" s="186"/>
      <c r="CH93" s="186"/>
      <c r="CI93" s="186"/>
      <c r="CJ93" s="186"/>
      <c r="CK93" s="186"/>
      <c r="CL93" s="186"/>
      <c r="CM93" s="186"/>
      <c r="CN93" s="186"/>
      <c r="CO93" s="186"/>
      <c r="CP93" s="186"/>
      <c r="CQ93" s="186"/>
      <c r="CR93" s="186"/>
      <c r="CS93" s="186"/>
      <c r="CT93" s="186"/>
      <c r="CU93" s="186"/>
      <c r="CV93" s="186"/>
      <c r="CW93" s="186"/>
      <c r="CX93" s="186"/>
      <c r="CY93" s="186"/>
      <c r="CZ93" s="186"/>
      <c r="DA93" s="186"/>
      <c r="DB93" s="186"/>
      <c r="DC93" s="186"/>
      <c r="DD93" s="186"/>
      <c r="DE93" s="186"/>
      <c r="DF93" s="186"/>
      <c r="DG93" s="186"/>
      <c r="DH93" s="186"/>
      <c r="DI93" s="186"/>
      <c r="DJ93" s="186"/>
      <c r="DK93" s="186"/>
      <c r="DL93" s="186"/>
      <c r="DM93" s="186"/>
      <c r="DN93" s="186"/>
      <c r="DO93" s="186"/>
      <c r="DP93" s="186"/>
      <c r="DQ93" s="186"/>
      <c r="DR93" s="186"/>
      <c r="DS93" s="186"/>
      <c r="DT93" s="186"/>
      <c r="DU93" s="186"/>
      <c r="DV93" s="186"/>
      <c r="DW93" s="186"/>
      <c r="DX93" s="186"/>
      <c r="DY93" s="186"/>
      <c r="DZ93" s="186"/>
      <c r="EA93" s="186"/>
      <c r="EB93" s="186"/>
      <c r="EC93" s="186"/>
      <c r="ED93" s="186"/>
      <c r="EE93" s="186"/>
      <c r="EF93" s="186"/>
      <c r="EG93" s="186"/>
      <c r="EH93" s="186"/>
      <c r="EI93" s="186"/>
      <c r="EJ93" s="186"/>
      <c r="EK93" s="186"/>
      <c r="EL93" s="186"/>
      <c r="EM93" s="186"/>
      <c r="EN93" s="186"/>
      <c r="EO93" s="186"/>
      <c r="EP93" s="186"/>
      <c r="EQ93" s="186"/>
      <c r="ER93" s="186"/>
      <c r="ES93" s="186"/>
      <c r="ET93" s="186"/>
      <c r="EU93" s="186"/>
      <c r="EV93" s="186"/>
      <c r="EW93" s="186"/>
      <c r="EX93" s="186"/>
      <c r="EY93" s="186"/>
      <c r="EZ93" s="186"/>
      <c r="FA93" s="186"/>
      <c r="FB93" s="186"/>
      <c r="FC93" s="186"/>
      <c r="FD93" s="186"/>
      <c r="FE93" s="186"/>
      <c r="FF93" s="186"/>
      <c r="FG93" s="186"/>
      <c r="FH93" s="186"/>
      <c r="FI93" s="182"/>
      <c r="FK93" s="183"/>
      <c r="FL93" s="180"/>
      <c r="FM93" s="182"/>
    </row>
    <row r="94" spans="1:169" ht="3" customHeight="1">
      <c r="A94" s="183"/>
      <c r="B94" s="191"/>
      <c r="C94" s="190"/>
      <c r="D94" s="183"/>
      <c r="E94" s="183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381"/>
      <c r="R94" s="1382"/>
      <c r="S94" s="1382"/>
      <c r="T94" s="1382"/>
      <c r="U94" s="1382"/>
      <c r="V94" s="1382"/>
      <c r="W94" s="1382"/>
      <c r="X94" s="1382"/>
      <c r="Y94" s="1382"/>
      <c r="Z94" s="1382"/>
      <c r="AA94" s="1382"/>
      <c r="AB94" s="1382"/>
      <c r="AC94" s="1382"/>
      <c r="AD94" s="1382"/>
      <c r="AE94" s="1382"/>
      <c r="AF94" s="1382"/>
      <c r="AG94" s="1382"/>
      <c r="AH94" s="1382"/>
      <c r="AI94" s="1382"/>
      <c r="AJ94" s="1382"/>
      <c r="AK94" s="1382"/>
      <c r="AL94" s="1382"/>
      <c r="AM94" s="1382"/>
      <c r="AN94" s="1382"/>
      <c r="AO94" s="1382"/>
      <c r="AP94" s="1382"/>
      <c r="AQ94" s="1382"/>
      <c r="AR94" s="1382"/>
      <c r="AS94" s="1382"/>
      <c r="AT94" s="1382"/>
      <c r="AU94" s="1382"/>
      <c r="AV94" s="1382"/>
      <c r="AW94" s="1382"/>
      <c r="AX94" s="1382"/>
      <c r="AY94" s="1382"/>
      <c r="AZ94" s="1382"/>
      <c r="BA94" s="1382"/>
      <c r="BB94" s="1382"/>
      <c r="BC94" s="1382"/>
      <c r="BD94" s="1382"/>
      <c r="BE94" s="1382"/>
      <c r="BF94" s="1382"/>
      <c r="BG94" s="1382"/>
      <c r="BH94" s="1382"/>
      <c r="BI94" s="1382"/>
      <c r="BJ94" s="1382"/>
      <c r="BK94" s="1382"/>
      <c r="BL94" s="1382"/>
      <c r="BM94" s="1382"/>
      <c r="BN94" s="1382"/>
      <c r="BO94" s="1382"/>
      <c r="BP94" s="1382"/>
      <c r="BQ94" s="1382"/>
      <c r="BR94" s="1382"/>
      <c r="BS94" s="1382"/>
      <c r="BT94" s="1382"/>
      <c r="BU94" s="1382"/>
      <c r="BV94" s="1382"/>
      <c r="BW94" s="1382"/>
      <c r="BX94" s="1382"/>
      <c r="BY94" s="1382"/>
      <c r="BZ94" s="1382"/>
      <c r="CA94" s="1382"/>
      <c r="CB94" s="1382"/>
      <c r="CC94" s="1382"/>
      <c r="CD94" s="1382"/>
      <c r="CE94" s="1382"/>
      <c r="CF94" s="1382"/>
      <c r="CG94" s="1382"/>
      <c r="CH94" s="1382"/>
      <c r="CI94" s="1382"/>
      <c r="CJ94" s="1382"/>
      <c r="CK94" s="1382"/>
      <c r="CL94" s="1382"/>
      <c r="CM94" s="1382"/>
      <c r="CN94" s="1382"/>
      <c r="CO94" s="1382"/>
      <c r="CP94" s="1382"/>
      <c r="CQ94" s="1382"/>
      <c r="CR94" s="1382"/>
      <c r="CS94" s="1382"/>
      <c r="CT94" s="1382"/>
      <c r="CU94" s="1382"/>
      <c r="CV94" s="1382"/>
      <c r="CW94" s="1382"/>
      <c r="CX94" s="1382"/>
      <c r="CY94" s="1382"/>
      <c r="CZ94" s="1382"/>
      <c r="DA94" s="1382"/>
      <c r="DB94" s="1382"/>
      <c r="DC94" s="1382"/>
      <c r="DD94" s="1382"/>
      <c r="DE94" s="1382"/>
      <c r="DF94" s="1382"/>
      <c r="DG94" s="1382"/>
      <c r="DH94" s="1382"/>
      <c r="DI94" s="1382"/>
      <c r="DJ94" s="1382"/>
      <c r="DK94" s="1382"/>
      <c r="DL94" s="1382"/>
      <c r="DM94" s="1382"/>
      <c r="DN94" s="1382"/>
      <c r="DO94" s="1382"/>
      <c r="DP94" s="1382"/>
      <c r="DQ94" s="1382"/>
      <c r="DR94" s="1382"/>
      <c r="DS94" s="1382"/>
      <c r="DT94" s="1382"/>
      <c r="DU94" s="1382"/>
      <c r="DV94" s="1382"/>
      <c r="DW94" s="1382"/>
      <c r="DX94" s="1382"/>
      <c r="DY94" s="1382"/>
      <c r="DZ94" s="1382"/>
      <c r="EA94" s="1382"/>
      <c r="EB94" s="1382"/>
      <c r="EC94" s="1382"/>
      <c r="ED94" s="1382"/>
      <c r="EE94" s="1382"/>
      <c r="EF94" s="1382"/>
      <c r="EG94" s="1382"/>
      <c r="EH94" s="1382"/>
      <c r="EI94" s="1382"/>
      <c r="EJ94" s="1382"/>
      <c r="EK94" s="1382"/>
      <c r="EL94" s="1382"/>
      <c r="EM94" s="1382"/>
      <c r="EN94" s="1382"/>
      <c r="EO94" s="1382"/>
      <c r="EP94" s="1382"/>
      <c r="EQ94" s="1382"/>
      <c r="ER94" s="1382"/>
      <c r="ES94" s="1382"/>
      <c r="ET94" s="1382"/>
      <c r="EU94" s="1382"/>
      <c r="EV94" s="1382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2"/>
      <c r="FK94" s="190"/>
      <c r="FL94" s="182"/>
      <c r="FM94" s="182"/>
    </row>
    <row r="95" spans="1:169" ht="3" customHeight="1">
      <c r="A95" s="183"/>
      <c r="B95" s="183"/>
      <c r="C95" s="179"/>
      <c r="E95" s="183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382"/>
      <c r="R95" s="1382"/>
      <c r="S95" s="1382"/>
      <c r="T95" s="1382"/>
      <c r="U95" s="1382"/>
      <c r="V95" s="1382"/>
      <c r="W95" s="1382"/>
      <c r="X95" s="1382"/>
      <c r="Y95" s="1382"/>
      <c r="Z95" s="1382"/>
      <c r="AA95" s="1382"/>
      <c r="AB95" s="1382"/>
      <c r="AC95" s="1382"/>
      <c r="AD95" s="1382"/>
      <c r="AE95" s="1382"/>
      <c r="AF95" s="1382"/>
      <c r="AG95" s="1382"/>
      <c r="AH95" s="1382"/>
      <c r="AI95" s="1382"/>
      <c r="AJ95" s="1382"/>
      <c r="AK95" s="1382"/>
      <c r="AL95" s="1382"/>
      <c r="AM95" s="1382"/>
      <c r="AN95" s="1382"/>
      <c r="AO95" s="1382"/>
      <c r="AP95" s="1382"/>
      <c r="AQ95" s="1382"/>
      <c r="AR95" s="1382"/>
      <c r="AS95" s="1382"/>
      <c r="AT95" s="1382"/>
      <c r="AU95" s="1382"/>
      <c r="AV95" s="1382"/>
      <c r="AW95" s="1382"/>
      <c r="AX95" s="1382"/>
      <c r="AY95" s="1382"/>
      <c r="AZ95" s="1382"/>
      <c r="BA95" s="1382"/>
      <c r="BB95" s="1382"/>
      <c r="BC95" s="1382"/>
      <c r="BD95" s="1382"/>
      <c r="BE95" s="1382"/>
      <c r="BF95" s="1382"/>
      <c r="BG95" s="1382"/>
      <c r="BH95" s="1382"/>
      <c r="BI95" s="1382"/>
      <c r="BJ95" s="1382"/>
      <c r="BK95" s="1382"/>
      <c r="BL95" s="1382"/>
      <c r="BM95" s="1382"/>
      <c r="BN95" s="1382"/>
      <c r="BO95" s="1382"/>
      <c r="BP95" s="1382"/>
      <c r="BQ95" s="1382"/>
      <c r="BR95" s="1382"/>
      <c r="BS95" s="1382"/>
      <c r="BT95" s="1382"/>
      <c r="BU95" s="1382"/>
      <c r="BV95" s="1382"/>
      <c r="BW95" s="1382"/>
      <c r="BX95" s="1382"/>
      <c r="BY95" s="1382"/>
      <c r="BZ95" s="1382"/>
      <c r="CA95" s="1382"/>
      <c r="CB95" s="1382"/>
      <c r="CC95" s="1382"/>
      <c r="CD95" s="1382"/>
      <c r="CE95" s="1382"/>
      <c r="CF95" s="1382"/>
      <c r="CG95" s="1382"/>
      <c r="CH95" s="1382"/>
      <c r="CI95" s="1382"/>
      <c r="CJ95" s="1382"/>
      <c r="CK95" s="1382"/>
      <c r="CL95" s="1382"/>
      <c r="CM95" s="1382"/>
      <c r="CN95" s="1382"/>
      <c r="CO95" s="1382"/>
      <c r="CP95" s="1382"/>
      <c r="CQ95" s="1382"/>
      <c r="CR95" s="1382"/>
      <c r="CS95" s="1382"/>
      <c r="CT95" s="1382"/>
      <c r="CU95" s="1382"/>
      <c r="CV95" s="1382"/>
      <c r="CW95" s="1382"/>
      <c r="CX95" s="1382"/>
      <c r="CY95" s="1382"/>
      <c r="CZ95" s="1382"/>
      <c r="DA95" s="1382"/>
      <c r="DB95" s="1382"/>
      <c r="DC95" s="1382"/>
      <c r="DD95" s="1382"/>
      <c r="DE95" s="1382"/>
      <c r="DF95" s="1382"/>
      <c r="DG95" s="1382"/>
      <c r="DH95" s="1382"/>
      <c r="DI95" s="1382"/>
      <c r="DJ95" s="1382"/>
      <c r="DK95" s="1382"/>
      <c r="DL95" s="1382"/>
      <c r="DM95" s="1382"/>
      <c r="DN95" s="1382"/>
      <c r="DO95" s="1382"/>
      <c r="DP95" s="1382"/>
      <c r="DQ95" s="1382"/>
      <c r="DR95" s="1382"/>
      <c r="DS95" s="1382"/>
      <c r="DT95" s="1382"/>
      <c r="DU95" s="1382"/>
      <c r="DV95" s="1382"/>
      <c r="DW95" s="1382"/>
      <c r="DX95" s="1382"/>
      <c r="DY95" s="1382"/>
      <c r="DZ95" s="1382"/>
      <c r="EA95" s="1382"/>
      <c r="EB95" s="1382"/>
      <c r="EC95" s="1382"/>
      <c r="ED95" s="1382"/>
      <c r="EE95" s="1382"/>
      <c r="EF95" s="1382"/>
      <c r="EG95" s="1382"/>
      <c r="EH95" s="1382"/>
      <c r="EI95" s="1382"/>
      <c r="EJ95" s="1382"/>
      <c r="EK95" s="1382"/>
      <c r="EL95" s="1382"/>
      <c r="EM95" s="1382"/>
      <c r="EN95" s="1382"/>
      <c r="EO95" s="1382"/>
      <c r="EP95" s="1382"/>
      <c r="EQ95" s="1382"/>
      <c r="ER95" s="1382"/>
      <c r="ES95" s="1382"/>
      <c r="ET95" s="1382"/>
      <c r="EU95" s="1382"/>
      <c r="EV95" s="1382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2"/>
      <c r="FK95" s="180"/>
      <c r="FL95" s="182"/>
      <c r="FM95" s="182"/>
    </row>
    <row r="96" spans="1:169" ht="3" customHeight="1">
      <c r="A96" s="183"/>
      <c r="B96" s="190"/>
      <c r="C96" s="183"/>
      <c r="D96" s="183"/>
      <c r="E96" s="183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382"/>
      <c r="R96" s="1382"/>
      <c r="S96" s="1382"/>
      <c r="T96" s="1382"/>
      <c r="U96" s="1382"/>
      <c r="V96" s="1382"/>
      <c r="W96" s="1382"/>
      <c r="X96" s="1382"/>
      <c r="Y96" s="1382"/>
      <c r="Z96" s="1382"/>
      <c r="AA96" s="1382"/>
      <c r="AB96" s="1382"/>
      <c r="AC96" s="1382"/>
      <c r="AD96" s="1382"/>
      <c r="AE96" s="1382"/>
      <c r="AF96" s="1382"/>
      <c r="AG96" s="1382"/>
      <c r="AH96" s="1382"/>
      <c r="AI96" s="1382"/>
      <c r="AJ96" s="1382"/>
      <c r="AK96" s="1382"/>
      <c r="AL96" s="1382"/>
      <c r="AM96" s="1382"/>
      <c r="AN96" s="1382"/>
      <c r="AO96" s="1382"/>
      <c r="AP96" s="1382"/>
      <c r="AQ96" s="1382"/>
      <c r="AR96" s="1382"/>
      <c r="AS96" s="1382"/>
      <c r="AT96" s="1382"/>
      <c r="AU96" s="1382"/>
      <c r="AV96" s="1382"/>
      <c r="AW96" s="1382"/>
      <c r="AX96" s="1382"/>
      <c r="AY96" s="1382"/>
      <c r="AZ96" s="1382"/>
      <c r="BA96" s="1382"/>
      <c r="BB96" s="1382"/>
      <c r="BC96" s="1382"/>
      <c r="BD96" s="1382"/>
      <c r="BE96" s="1382"/>
      <c r="BF96" s="1382"/>
      <c r="BG96" s="1382"/>
      <c r="BH96" s="1382"/>
      <c r="BI96" s="1382"/>
      <c r="BJ96" s="1382"/>
      <c r="BK96" s="1382"/>
      <c r="BL96" s="1382"/>
      <c r="BM96" s="1382"/>
      <c r="BN96" s="1382"/>
      <c r="BO96" s="1382"/>
      <c r="BP96" s="1382"/>
      <c r="BQ96" s="1382"/>
      <c r="BR96" s="1382"/>
      <c r="BS96" s="1382"/>
      <c r="BT96" s="1382"/>
      <c r="BU96" s="1382"/>
      <c r="BV96" s="1382"/>
      <c r="BW96" s="1382"/>
      <c r="BX96" s="1382"/>
      <c r="BY96" s="1382"/>
      <c r="BZ96" s="1382"/>
      <c r="CA96" s="1382"/>
      <c r="CB96" s="1382"/>
      <c r="CC96" s="1382"/>
      <c r="CD96" s="1382"/>
      <c r="CE96" s="1382"/>
      <c r="CF96" s="1382"/>
      <c r="CG96" s="1382"/>
      <c r="CH96" s="1382"/>
      <c r="CI96" s="1382"/>
      <c r="CJ96" s="1382"/>
      <c r="CK96" s="1382"/>
      <c r="CL96" s="1382"/>
      <c r="CM96" s="1382"/>
      <c r="CN96" s="1382"/>
      <c r="CO96" s="1382"/>
      <c r="CP96" s="1382"/>
      <c r="CQ96" s="1382"/>
      <c r="CR96" s="1382"/>
      <c r="CS96" s="1382"/>
      <c r="CT96" s="1382"/>
      <c r="CU96" s="1382"/>
      <c r="CV96" s="1382"/>
      <c r="CW96" s="1382"/>
      <c r="CX96" s="1382"/>
      <c r="CY96" s="1382"/>
      <c r="CZ96" s="1382"/>
      <c r="DA96" s="1382"/>
      <c r="DB96" s="1382"/>
      <c r="DC96" s="1382"/>
      <c r="DD96" s="1382"/>
      <c r="DE96" s="1382"/>
      <c r="DF96" s="1382"/>
      <c r="DG96" s="1382"/>
      <c r="DH96" s="1382"/>
      <c r="DI96" s="1382"/>
      <c r="DJ96" s="1382"/>
      <c r="DK96" s="1382"/>
      <c r="DL96" s="1382"/>
      <c r="DM96" s="1382"/>
      <c r="DN96" s="1382"/>
      <c r="DO96" s="1382"/>
      <c r="DP96" s="1382"/>
      <c r="DQ96" s="1382"/>
      <c r="DR96" s="1382"/>
      <c r="DS96" s="1382"/>
      <c r="DT96" s="1382"/>
      <c r="DU96" s="1382"/>
      <c r="DV96" s="1382"/>
      <c r="DW96" s="1382"/>
      <c r="DX96" s="1382"/>
      <c r="DY96" s="1382"/>
      <c r="DZ96" s="1382"/>
      <c r="EA96" s="1382"/>
      <c r="EB96" s="1382"/>
      <c r="EC96" s="1382"/>
      <c r="ED96" s="1382"/>
      <c r="EE96" s="1382"/>
      <c r="EF96" s="1382"/>
      <c r="EG96" s="1382"/>
      <c r="EH96" s="1382"/>
      <c r="EI96" s="1382"/>
      <c r="EJ96" s="1382"/>
      <c r="EK96" s="1382"/>
      <c r="EL96" s="1382"/>
      <c r="EM96" s="1382"/>
      <c r="EN96" s="1382"/>
      <c r="EO96" s="1382"/>
      <c r="EP96" s="1382"/>
      <c r="EQ96" s="1382"/>
      <c r="ER96" s="1382"/>
      <c r="ES96" s="1382"/>
      <c r="ET96" s="1382"/>
      <c r="EU96" s="1382"/>
      <c r="EV96" s="1382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2"/>
      <c r="FK96" s="183"/>
      <c r="FL96" s="190"/>
      <c r="FM96" s="182"/>
    </row>
    <row r="97" spans="1:169" ht="3" customHeight="1">
      <c r="A97" s="183"/>
      <c r="B97" s="179"/>
      <c r="D97" s="183"/>
      <c r="E97" s="183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382"/>
      <c r="R97" s="1382"/>
      <c r="S97" s="1382"/>
      <c r="T97" s="1382"/>
      <c r="U97" s="1382"/>
      <c r="V97" s="1382"/>
      <c r="W97" s="1382"/>
      <c r="X97" s="1382"/>
      <c r="Y97" s="1382"/>
      <c r="Z97" s="1382"/>
      <c r="AA97" s="1382"/>
      <c r="AB97" s="1382"/>
      <c r="AC97" s="1382"/>
      <c r="AD97" s="1382"/>
      <c r="AE97" s="1382"/>
      <c r="AF97" s="1382"/>
      <c r="AG97" s="1382"/>
      <c r="AH97" s="1382"/>
      <c r="AI97" s="1382"/>
      <c r="AJ97" s="1382"/>
      <c r="AK97" s="1382"/>
      <c r="AL97" s="1382"/>
      <c r="AM97" s="1382"/>
      <c r="AN97" s="1382"/>
      <c r="AO97" s="1382"/>
      <c r="AP97" s="1382"/>
      <c r="AQ97" s="1382"/>
      <c r="AR97" s="1382"/>
      <c r="AS97" s="1382"/>
      <c r="AT97" s="1382"/>
      <c r="AU97" s="1382"/>
      <c r="AV97" s="1382"/>
      <c r="AW97" s="1382"/>
      <c r="AX97" s="1382"/>
      <c r="AY97" s="1382"/>
      <c r="AZ97" s="1382"/>
      <c r="BA97" s="1382"/>
      <c r="BB97" s="1382"/>
      <c r="BC97" s="1382"/>
      <c r="BD97" s="1382"/>
      <c r="BE97" s="1382"/>
      <c r="BF97" s="1382"/>
      <c r="BG97" s="1382"/>
      <c r="BH97" s="1382"/>
      <c r="BI97" s="1382"/>
      <c r="BJ97" s="1382"/>
      <c r="BK97" s="1382"/>
      <c r="BL97" s="1382"/>
      <c r="BM97" s="1382"/>
      <c r="BN97" s="1382"/>
      <c r="BO97" s="1382"/>
      <c r="BP97" s="1382"/>
      <c r="BQ97" s="1382"/>
      <c r="BR97" s="1382"/>
      <c r="BS97" s="1382"/>
      <c r="BT97" s="1382"/>
      <c r="BU97" s="1382"/>
      <c r="BV97" s="1382"/>
      <c r="BW97" s="1382"/>
      <c r="BX97" s="1382"/>
      <c r="BY97" s="1382"/>
      <c r="BZ97" s="1382"/>
      <c r="CA97" s="1382"/>
      <c r="CB97" s="1382"/>
      <c r="CC97" s="1382"/>
      <c r="CD97" s="1382"/>
      <c r="CE97" s="1382"/>
      <c r="CF97" s="1382"/>
      <c r="CG97" s="1382"/>
      <c r="CH97" s="1382"/>
      <c r="CI97" s="1382"/>
      <c r="CJ97" s="1382"/>
      <c r="CK97" s="1382"/>
      <c r="CL97" s="1382"/>
      <c r="CM97" s="1382"/>
      <c r="CN97" s="1382"/>
      <c r="CO97" s="1382"/>
      <c r="CP97" s="1382"/>
      <c r="CQ97" s="1382"/>
      <c r="CR97" s="1382"/>
      <c r="CS97" s="1382"/>
      <c r="CT97" s="1382"/>
      <c r="CU97" s="1382"/>
      <c r="CV97" s="1382"/>
      <c r="CW97" s="1382"/>
      <c r="CX97" s="1382"/>
      <c r="CY97" s="1382"/>
      <c r="CZ97" s="1382"/>
      <c r="DA97" s="1382"/>
      <c r="DB97" s="1382"/>
      <c r="DC97" s="1382"/>
      <c r="DD97" s="1382"/>
      <c r="DE97" s="1382"/>
      <c r="DF97" s="1382"/>
      <c r="DG97" s="1382"/>
      <c r="DH97" s="1382"/>
      <c r="DI97" s="1382"/>
      <c r="DJ97" s="1382"/>
      <c r="DK97" s="1382"/>
      <c r="DL97" s="1382"/>
      <c r="DM97" s="1382"/>
      <c r="DN97" s="1382"/>
      <c r="DO97" s="1382"/>
      <c r="DP97" s="1382"/>
      <c r="DQ97" s="1382"/>
      <c r="DR97" s="1382"/>
      <c r="DS97" s="1382"/>
      <c r="DT97" s="1382"/>
      <c r="DU97" s="1382"/>
      <c r="DV97" s="1382"/>
      <c r="DW97" s="1382"/>
      <c r="DX97" s="1382"/>
      <c r="DY97" s="1382"/>
      <c r="DZ97" s="1382"/>
      <c r="EA97" s="1382"/>
      <c r="EB97" s="1382"/>
      <c r="EC97" s="1382"/>
      <c r="ED97" s="1382"/>
      <c r="EE97" s="1382"/>
      <c r="EF97" s="1382"/>
      <c r="EG97" s="1382"/>
      <c r="EH97" s="1382"/>
      <c r="EI97" s="1382"/>
      <c r="EJ97" s="1382"/>
      <c r="EK97" s="1382"/>
      <c r="EL97" s="1382"/>
      <c r="EM97" s="1382"/>
      <c r="EN97" s="1382"/>
      <c r="EO97" s="1382"/>
      <c r="EP97" s="1382"/>
      <c r="EQ97" s="1382"/>
      <c r="ER97" s="1382"/>
      <c r="ES97" s="1382"/>
      <c r="ET97" s="1382"/>
      <c r="EU97" s="1382"/>
      <c r="EV97" s="1382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2"/>
      <c r="FK97" s="183"/>
      <c r="FL97" s="180"/>
      <c r="FM97" s="182"/>
    </row>
    <row r="98" spans="1:169" ht="3" customHeight="1">
      <c r="A98" s="183"/>
      <c r="B98" s="191"/>
      <c r="C98" s="190"/>
      <c r="D98" s="183"/>
      <c r="E98" s="183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382"/>
      <c r="R98" s="1382"/>
      <c r="S98" s="1382"/>
      <c r="T98" s="1382"/>
      <c r="U98" s="1382"/>
      <c r="V98" s="1382"/>
      <c r="W98" s="1382"/>
      <c r="X98" s="1382"/>
      <c r="Y98" s="1382"/>
      <c r="Z98" s="1382"/>
      <c r="AA98" s="1382"/>
      <c r="AB98" s="1382"/>
      <c r="AC98" s="1382"/>
      <c r="AD98" s="1382"/>
      <c r="AE98" s="1382"/>
      <c r="AF98" s="1382"/>
      <c r="AG98" s="1382"/>
      <c r="AH98" s="1382"/>
      <c r="AI98" s="1382"/>
      <c r="AJ98" s="1382"/>
      <c r="AK98" s="1382"/>
      <c r="AL98" s="1382"/>
      <c r="AM98" s="1382"/>
      <c r="AN98" s="1382"/>
      <c r="AO98" s="1382"/>
      <c r="AP98" s="1382"/>
      <c r="AQ98" s="1382"/>
      <c r="AR98" s="1382"/>
      <c r="AS98" s="1382"/>
      <c r="AT98" s="1382"/>
      <c r="AU98" s="1382"/>
      <c r="AV98" s="1382"/>
      <c r="AW98" s="1382"/>
      <c r="AX98" s="1382"/>
      <c r="AY98" s="1382"/>
      <c r="AZ98" s="1382"/>
      <c r="BA98" s="1382"/>
      <c r="BB98" s="1382"/>
      <c r="BC98" s="1382"/>
      <c r="BD98" s="1382"/>
      <c r="BE98" s="1382"/>
      <c r="BF98" s="1382"/>
      <c r="BG98" s="1382"/>
      <c r="BH98" s="1382"/>
      <c r="BI98" s="1382"/>
      <c r="BJ98" s="1382"/>
      <c r="BK98" s="1382"/>
      <c r="BL98" s="1382"/>
      <c r="BM98" s="1382"/>
      <c r="BN98" s="1382"/>
      <c r="BO98" s="1382"/>
      <c r="BP98" s="1382"/>
      <c r="BQ98" s="1382"/>
      <c r="BR98" s="1382"/>
      <c r="BS98" s="1382"/>
      <c r="BT98" s="1382"/>
      <c r="BU98" s="1382"/>
      <c r="BV98" s="1382"/>
      <c r="BW98" s="1382"/>
      <c r="BX98" s="1382"/>
      <c r="BY98" s="1382"/>
      <c r="BZ98" s="1382"/>
      <c r="CA98" s="1382"/>
      <c r="CB98" s="1382"/>
      <c r="CC98" s="1382"/>
      <c r="CD98" s="1382"/>
      <c r="CE98" s="1382"/>
      <c r="CF98" s="1382"/>
      <c r="CG98" s="1382"/>
      <c r="CH98" s="1382"/>
      <c r="CI98" s="1382"/>
      <c r="CJ98" s="1382"/>
      <c r="CK98" s="1382"/>
      <c r="CL98" s="1382"/>
      <c r="CM98" s="1382"/>
      <c r="CN98" s="1382"/>
      <c r="CO98" s="1382"/>
      <c r="CP98" s="1382"/>
      <c r="CQ98" s="1382"/>
      <c r="CR98" s="1382"/>
      <c r="CS98" s="1382"/>
      <c r="CT98" s="1382"/>
      <c r="CU98" s="1382"/>
      <c r="CV98" s="1382"/>
      <c r="CW98" s="1382"/>
      <c r="CX98" s="1382"/>
      <c r="CY98" s="1382"/>
      <c r="CZ98" s="1382"/>
      <c r="DA98" s="1382"/>
      <c r="DB98" s="1382"/>
      <c r="DC98" s="1382"/>
      <c r="DD98" s="1382"/>
      <c r="DE98" s="1382"/>
      <c r="DF98" s="1382"/>
      <c r="DG98" s="1382"/>
      <c r="DH98" s="1382"/>
      <c r="DI98" s="1382"/>
      <c r="DJ98" s="1382"/>
      <c r="DK98" s="1382"/>
      <c r="DL98" s="1382"/>
      <c r="DM98" s="1382"/>
      <c r="DN98" s="1382"/>
      <c r="DO98" s="1382"/>
      <c r="DP98" s="1382"/>
      <c r="DQ98" s="1382"/>
      <c r="DR98" s="1382"/>
      <c r="DS98" s="1382"/>
      <c r="DT98" s="1382"/>
      <c r="DU98" s="1382"/>
      <c r="DV98" s="1382"/>
      <c r="DW98" s="1382"/>
      <c r="DX98" s="1382"/>
      <c r="DY98" s="1382"/>
      <c r="DZ98" s="1382"/>
      <c r="EA98" s="1382"/>
      <c r="EB98" s="1382"/>
      <c r="EC98" s="1382"/>
      <c r="ED98" s="1382"/>
      <c r="EE98" s="1382"/>
      <c r="EF98" s="1382"/>
      <c r="EG98" s="1382"/>
      <c r="EH98" s="1382"/>
      <c r="EI98" s="1382"/>
      <c r="EJ98" s="1382"/>
      <c r="EK98" s="1382"/>
      <c r="EL98" s="1382"/>
      <c r="EM98" s="1382"/>
      <c r="EN98" s="1382"/>
      <c r="EO98" s="1382"/>
      <c r="EP98" s="1382"/>
      <c r="EQ98" s="1382"/>
      <c r="ER98" s="1382"/>
      <c r="ES98" s="1382"/>
      <c r="ET98" s="1382"/>
      <c r="EU98" s="1382"/>
      <c r="EV98" s="1382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2"/>
      <c r="FK98" s="190"/>
      <c r="FL98" s="182"/>
      <c r="FM98" s="182"/>
    </row>
    <row r="99" spans="1:169" ht="3" customHeight="1">
      <c r="A99" s="183"/>
      <c r="B99" s="183"/>
      <c r="C99" s="179"/>
      <c r="E99" s="183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382"/>
      <c r="R99" s="1382"/>
      <c r="S99" s="1382"/>
      <c r="T99" s="1382"/>
      <c r="U99" s="1382"/>
      <c r="V99" s="1382"/>
      <c r="W99" s="1382"/>
      <c r="X99" s="1382"/>
      <c r="Y99" s="1382"/>
      <c r="Z99" s="1382"/>
      <c r="AA99" s="1382"/>
      <c r="AB99" s="1382"/>
      <c r="AC99" s="1382"/>
      <c r="AD99" s="1382"/>
      <c r="AE99" s="1382"/>
      <c r="AF99" s="1382"/>
      <c r="AG99" s="1382"/>
      <c r="AH99" s="1382"/>
      <c r="AI99" s="1382"/>
      <c r="AJ99" s="1382"/>
      <c r="AK99" s="1382"/>
      <c r="AL99" s="1382"/>
      <c r="AM99" s="1382"/>
      <c r="AN99" s="1382"/>
      <c r="AO99" s="1382"/>
      <c r="AP99" s="1382"/>
      <c r="AQ99" s="1382"/>
      <c r="AR99" s="1382"/>
      <c r="AS99" s="1382"/>
      <c r="AT99" s="1382"/>
      <c r="AU99" s="1382"/>
      <c r="AV99" s="1382"/>
      <c r="AW99" s="1382"/>
      <c r="AX99" s="1382"/>
      <c r="AY99" s="1382"/>
      <c r="AZ99" s="1382"/>
      <c r="BA99" s="1382"/>
      <c r="BB99" s="1382"/>
      <c r="BC99" s="1382"/>
      <c r="BD99" s="1382"/>
      <c r="BE99" s="1382"/>
      <c r="BF99" s="1382"/>
      <c r="BG99" s="1382"/>
      <c r="BH99" s="1382"/>
      <c r="BI99" s="1382"/>
      <c r="BJ99" s="1382"/>
      <c r="BK99" s="1382"/>
      <c r="BL99" s="1382"/>
      <c r="BM99" s="1382"/>
      <c r="BN99" s="1382"/>
      <c r="BO99" s="1382"/>
      <c r="BP99" s="1382"/>
      <c r="BQ99" s="1382"/>
      <c r="BR99" s="1382"/>
      <c r="BS99" s="1382"/>
      <c r="BT99" s="1382"/>
      <c r="BU99" s="1382"/>
      <c r="BV99" s="1382"/>
      <c r="BW99" s="1382"/>
      <c r="BX99" s="1382"/>
      <c r="BY99" s="1382"/>
      <c r="BZ99" s="1382"/>
      <c r="CA99" s="1382"/>
      <c r="CB99" s="1382"/>
      <c r="CC99" s="1382"/>
      <c r="CD99" s="1382"/>
      <c r="CE99" s="1382"/>
      <c r="CF99" s="1382"/>
      <c r="CG99" s="1382"/>
      <c r="CH99" s="1382"/>
      <c r="CI99" s="1382"/>
      <c r="CJ99" s="1382"/>
      <c r="CK99" s="1382"/>
      <c r="CL99" s="1382"/>
      <c r="CM99" s="1382"/>
      <c r="CN99" s="1382"/>
      <c r="CO99" s="1382"/>
      <c r="CP99" s="1382"/>
      <c r="CQ99" s="1382"/>
      <c r="CR99" s="1382"/>
      <c r="CS99" s="1382"/>
      <c r="CT99" s="1382"/>
      <c r="CU99" s="1382"/>
      <c r="CV99" s="1382"/>
      <c r="CW99" s="1382"/>
      <c r="CX99" s="1382"/>
      <c r="CY99" s="1382"/>
      <c r="CZ99" s="1382"/>
      <c r="DA99" s="1382"/>
      <c r="DB99" s="1382"/>
      <c r="DC99" s="1382"/>
      <c r="DD99" s="1382"/>
      <c r="DE99" s="1382"/>
      <c r="DF99" s="1382"/>
      <c r="DG99" s="1382"/>
      <c r="DH99" s="1382"/>
      <c r="DI99" s="1382"/>
      <c r="DJ99" s="1382"/>
      <c r="DK99" s="1382"/>
      <c r="DL99" s="1382"/>
      <c r="DM99" s="1382"/>
      <c r="DN99" s="1382"/>
      <c r="DO99" s="1382"/>
      <c r="DP99" s="1382"/>
      <c r="DQ99" s="1382"/>
      <c r="DR99" s="1382"/>
      <c r="DS99" s="1382"/>
      <c r="DT99" s="1382"/>
      <c r="DU99" s="1382"/>
      <c r="DV99" s="1382"/>
      <c r="DW99" s="1382"/>
      <c r="DX99" s="1382"/>
      <c r="DY99" s="1382"/>
      <c r="DZ99" s="1382"/>
      <c r="EA99" s="1382"/>
      <c r="EB99" s="1382"/>
      <c r="EC99" s="1382"/>
      <c r="ED99" s="1382"/>
      <c r="EE99" s="1382"/>
      <c r="EF99" s="1382"/>
      <c r="EG99" s="1382"/>
      <c r="EH99" s="1382"/>
      <c r="EI99" s="1382"/>
      <c r="EJ99" s="1382"/>
      <c r="EK99" s="1382"/>
      <c r="EL99" s="1382"/>
      <c r="EM99" s="1382"/>
      <c r="EN99" s="1382"/>
      <c r="EO99" s="1382"/>
      <c r="EP99" s="1382"/>
      <c r="EQ99" s="1382"/>
      <c r="ER99" s="1382"/>
      <c r="ES99" s="1382"/>
      <c r="ET99" s="1382"/>
      <c r="EU99" s="1382"/>
      <c r="EV99" s="1382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2"/>
      <c r="FK99" s="180"/>
      <c r="FL99" s="182"/>
      <c r="FM99" s="182"/>
    </row>
    <row r="100" spans="1:169" ht="3" customHeight="1">
      <c r="A100" s="183"/>
      <c r="B100" s="181"/>
      <c r="C100" s="191"/>
      <c r="D100" s="183"/>
      <c r="E100" s="183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382"/>
      <c r="R100" s="1382"/>
      <c r="S100" s="1382"/>
      <c r="T100" s="1382"/>
      <c r="U100" s="1382"/>
      <c r="V100" s="1382"/>
      <c r="W100" s="1382"/>
      <c r="X100" s="1382"/>
      <c r="Y100" s="1382"/>
      <c r="Z100" s="1382"/>
      <c r="AA100" s="1382"/>
      <c r="AB100" s="1382"/>
      <c r="AC100" s="1382"/>
      <c r="AD100" s="1382"/>
      <c r="AE100" s="1382"/>
      <c r="AF100" s="1382"/>
      <c r="AG100" s="1382"/>
      <c r="AH100" s="1382"/>
      <c r="AI100" s="1382"/>
      <c r="AJ100" s="1382"/>
      <c r="AK100" s="1382"/>
      <c r="AL100" s="1382"/>
      <c r="AM100" s="1382"/>
      <c r="AN100" s="1382"/>
      <c r="AO100" s="1382"/>
      <c r="AP100" s="1382"/>
      <c r="AQ100" s="1382"/>
      <c r="AR100" s="1382"/>
      <c r="AS100" s="1382"/>
      <c r="AT100" s="1382"/>
      <c r="AU100" s="1382"/>
      <c r="AV100" s="1382"/>
      <c r="AW100" s="1382"/>
      <c r="AX100" s="1382"/>
      <c r="AY100" s="1382"/>
      <c r="AZ100" s="1382"/>
      <c r="BA100" s="1382"/>
      <c r="BB100" s="1382"/>
      <c r="BC100" s="1382"/>
      <c r="BD100" s="1382"/>
      <c r="BE100" s="1382"/>
      <c r="BF100" s="1382"/>
      <c r="BG100" s="1382"/>
      <c r="BH100" s="1382"/>
      <c r="BI100" s="1382"/>
      <c r="BJ100" s="1382"/>
      <c r="BK100" s="1382"/>
      <c r="BL100" s="1382"/>
      <c r="BM100" s="1382"/>
      <c r="BN100" s="1382"/>
      <c r="BO100" s="1382"/>
      <c r="BP100" s="1382"/>
      <c r="BQ100" s="1382"/>
      <c r="BR100" s="1382"/>
      <c r="BS100" s="1382"/>
      <c r="BT100" s="1382"/>
      <c r="BU100" s="1382"/>
      <c r="BV100" s="1382"/>
      <c r="BW100" s="1382"/>
      <c r="BX100" s="1382"/>
      <c r="BY100" s="1382"/>
      <c r="BZ100" s="1382"/>
      <c r="CA100" s="1382"/>
      <c r="CB100" s="1382"/>
      <c r="CC100" s="1382"/>
      <c r="CD100" s="1382"/>
      <c r="CE100" s="1382"/>
      <c r="CF100" s="1382"/>
      <c r="CG100" s="1382"/>
      <c r="CH100" s="1382"/>
      <c r="CI100" s="1382"/>
      <c r="CJ100" s="1382"/>
      <c r="CK100" s="1382"/>
      <c r="CL100" s="1382"/>
      <c r="CM100" s="1382"/>
      <c r="CN100" s="1382"/>
      <c r="CO100" s="1382"/>
      <c r="CP100" s="1382"/>
      <c r="CQ100" s="1382"/>
      <c r="CR100" s="1382"/>
      <c r="CS100" s="1382"/>
      <c r="CT100" s="1382"/>
      <c r="CU100" s="1382"/>
      <c r="CV100" s="1382"/>
      <c r="CW100" s="1382"/>
      <c r="CX100" s="1382"/>
      <c r="CY100" s="1382"/>
      <c r="CZ100" s="1382"/>
      <c r="DA100" s="1382"/>
      <c r="DB100" s="1382"/>
      <c r="DC100" s="1382"/>
      <c r="DD100" s="1382"/>
      <c r="DE100" s="1382"/>
      <c r="DF100" s="1382"/>
      <c r="DG100" s="1382"/>
      <c r="DH100" s="1382"/>
      <c r="DI100" s="1382"/>
      <c r="DJ100" s="1382"/>
      <c r="DK100" s="1382"/>
      <c r="DL100" s="1382"/>
      <c r="DM100" s="1382"/>
      <c r="DN100" s="1382"/>
      <c r="DO100" s="1382"/>
      <c r="DP100" s="1382"/>
      <c r="DQ100" s="1382"/>
      <c r="DR100" s="1382"/>
      <c r="DS100" s="1382"/>
      <c r="DT100" s="1382"/>
      <c r="DU100" s="1382"/>
      <c r="DV100" s="1382"/>
      <c r="DW100" s="1382"/>
      <c r="DX100" s="1382"/>
      <c r="DY100" s="1382"/>
      <c r="DZ100" s="1382"/>
      <c r="EA100" s="1382"/>
      <c r="EB100" s="1382"/>
      <c r="EC100" s="1382"/>
      <c r="ED100" s="1382"/>
      <c r="EE100" s="1382"/>
      <c r="EF100" s="1382"/>
      <c r="EG100" s="1382"/>
      <c r="EH100" s="1382"/>
      <c r="EI100" s="1382"/>
      <c r="EJ100" s="1382"/>
      <c r="EK100" s="1382"/>
      <c r="EL100" s="1382"/>
      <c r="EM100" s="1382"/>
      <c r="EN100" s="1382"/>
      <c r="EO100" s="1382"/>
      <c r="EP100" s="1382"/>
      <c r="EQ100" s="1382"/>
      <c r="ER100" s="1382"/>
      <c r="ES100" s="1382"/>
      <c r="ET100" s="1382"/>
      <c r="EU100" s="1382"/>
      <c r="EV100" s="1382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2"/>
      <c r="FK100" s="183"/>
      <c r="FL100" s="190"/>
      <c r="FM100" s="182"/>
    </row>
    <row r="101" spans="1:169" ht="3" customHeight="1">
      <c r="A101" s="183"/>
      <c r="B101" s="179"/>
      <c r="D101" s="183"/>
      <c r="E101" s="183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382"/>
      <c r="R101" s="1382"/>
      <c r="S101" s="1382"/>
      <c r="T101" s="1382"/>
      <c r="U101" s="1382"/>
      <c r="V101" s="1382"/>
      <c r="W101" s="1382"/>
      <c r="X101" s="1382"/>
      <c r="Y101" s="1382"/>
      <c r="Z101" s="1382"/>
      <c r="AA101" s="1382"/>
      <c r="AB101" s="1382"/>
      <c r="AC101" s="1382"/>
      <c r="AD101" s="1382"/>
      <c r="AE101" s="1382"/>
      <c r="AF101" s="1382"/>
      <c r="AG101" s="1382"/>
      <c r="AH101" s="1382"/>
      <c r="AI101" s="1382"/>
      <c r="AJ101" s="1382"/>
      <c r="AK101" s="1382"/>
      <c r="AL101" s="1382"/>
      <c r="AM101" s="1382"/>
      <c r="AN101" s="1382"/>
      <c r="AO101" s="1382"/>
      <c r="AP101" s="1382"/>
      <c r="AQ101" s="1382"/>
      <c r="AR101" s="1382"/>
      <c r="AS101" s="1382"/>
      <c r="AT101" s="1382"/>
      <c r="AU101" s="1382"/>
      <c r="AV101" s="1382"/>
      <c r="AW101" s="1382"/>
      <c r="AX101" s="1382"/>
      <c r="AY101" s="1382"/>
      <c r="AZ101" s="1382"/>
      <c r="BA101" s="1382"/>
      <c r="BB101" s="1382"/>
      <c r="BC101" s="1382"/>
      <c r="BD101" s="1382"/>
      <c r="BE101" s="1382"/>
      <c r="BF101" s="1382"/>
      <c r="BG101" s="1382"/>
      <c r="BH101" s="1382"/>
      <c r="BI101" s="1382"/>
      <c r="BJ101" s="1382"/>
      <c r="BK101" s="1382"/>
      <c r="BL101" s="1382"/>
      <c r="BM101" s="1382"/>
      <c r="BN101" s="1382"/>
      <c r="BO101" s="1382"/>
      <c r="BP101" s="1382"/>
      <c r="BQ101" s="1382"/>
      <c r="BR101" s="1382"/>
      <c r="BS101" s="1382"/>
      <c r="BT101" s="1382"/>
      <c r="BU101" s="1382"/>
      <c r="BV101" s="1382"/>
      <c r="BW101" s="1382"/>
      <c r="BX101" s="1382"/>
      <c r="BY101" s="1382"/>
      <c r="BZ101" s="1382"/>
      <c r="CA101" s="1382"/>
      <c r="CB101" s="1382"/>
      <c r="CC101" s="1382"/>
      <c r="CD101" s="1382"/>
      <c r="CE101" s="1382"/>
      <c r="CF101" s="1382"/>
      <c r="CG101" s="1382"/>
      <c r="CH101" s="1382"/>
      <c r="CI101" s="1382"/>
      <c r="CJ101" s="1382"/>
      <c r="CK101" s="1382"/>
      <c r="CL101" s="1382"/>
      <c r="CM101" s="1382"/>
      <c r="CN101" s="1382"/>
      <c r="CO101" s="1382"/>
      <c r="CP101" s="1382"/>
      <c r="CQ101" s="1382"/>
      <c r="CR101" s="1382"/>
      <c r="CS101" s="1382"/>
      <c r="CT101" s="1382"/>
      <c r="CU101" s="1382"/>
      <c r="CV101" s="1382"/>
      <c r="CW101" s="1382"/>
      <c r="CX101" s="1382"/>
      <c r="CY101" s="1382"/>
      <c r="CZ101" s="1382"/>
      <c r="DA101" s="1382"/>
      <c r="DB101" s="1382"/>
      <c r="DC101" s="1382"/>
      <c r="DD101" s="1382"/>
      <c r="DE101" s="1382"/>
      <c r="DF101" s="1382"/>
      <c r="DG101" s="1382"/>
      <c r="DH101" s="1382"/>
      <c r="DI101" s="1382"/>
      <c r="DJ101" s="1382"/>
      <c r="DK101" s="1382"/>
      <c r="DL101" s="1382"/>
      <c r="DM101" s="1382"/>
      <c r="DN101" s="1382"/>
      <c r="DO101" s="1382"/>
      <c r="DP101" s="1382"/>
      <c r="DQ101" s="1382"/>
      <c r="DR101" s="1382"/>
      <c r="DS101" s="1382"/>
      <c r="DT101" s="1382"/>
      <c r="DU101" s="1382"/>
      <c r="DV101" s="1382"/>
      <c r="DW101" s="1382"/>
      <c r="DX101" s="1382"/>
      <c r="DY101" s="1382"/>
      <c r="DZ101" s="1382"/>
      <c r="EA101" s="1382"/>
      <c r="EB101" s="1382"/>
      <c r="EC101" s="1382"/>
      <c r="ED101" s="1382"/>
      <c r="EE101" s="1382"/>
      <c r="EF101" s="1382"/>
      <c r="EG101" s="1382"/>
      <c r="EH101" s="1382"/>
      <c r="EI101" s="1382"/>
      <c r="EJ101" s="1382"/>
      <c r="EK101" s="1382"/>
      <c r="EL101" s="1382"/>
      <c r="EM101" s="1382"/>
      <c r="EN101" s="1382"/>
      <c r="EO101" s="1382"/>
      <c r="EP101" s="1382"/>
      <c r="EQ101" s="1382"/>
      <c r="ER101" s="1382"/>
      <c r="ES101" s="1382"/>
      <c r="ET101" s="1382"/>
      <c r="EU101" s="1382"/>
      <c r="EV101" s="1382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2"/>
      <c r="FK101" s="183"/>
      <c r="FL101" s="180"/>
      <c r="FM101" s="182"/>
    </row>
    <row r="102" spans="1:169" ht="3" customHeight="1">
      <c r="A102" s="183"/>
      <c r="B102" s="191"/>
      <c r="C102" s="190"/>
      <c r="D102" s="183"/>
      <c r="E102" s="183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382"/>
      <c r="R102" s="1382"/>
      <c r="S102" s="1382"/>
      <c r="T102" s="1382"/>
      <c r="U102" s="1382"/>
      <c r="V102" s="1382"/>
      <c r="W102" s="1382"/>
      <c r="X102" s="1382"/>
      <c r="Y102" s="1382"/>
      <c r="Z102" s="1382"/>
      <c r="AA102" s="1382"/>
      <c r="AB102" s="1382"/>
      <c r="AC102" s="1382"/>
      <c r="AD102" s="1382"/>
      <c r="AE102" s="1382"/>
      <c r="AF102" s="1382"/>
      <c r="AG102" s="1382"/>
      <c r="AH102" s="1382"/>
      <c r="AI102" s="1382"/>
      <c r="AJ102" s="1382"/>
      <c r="AK102" s="1382"/>
      <c r="AL102" s="1382"/>
      <c r="AM102" s="1382"/>
      <c r="AN102" s="1382"/>
      <c r="AO102" s="1382"/>
      <c r="AP102" s="1382"/>
      <c r="AQ102" s="1382"/>
      <c r="AR102" s="1382"/>
      <c r="AS102" s="1382"/>
      <c r="AT102" s="1382"/>
      <c r="AU102" s="1382"/>
      <c r="AV102" s="1382"/>
      <c r="AW102" s="1382"/>
      <c r="AX102" s="1382"/>
      <c r="AY102" s="1382"/>
      <c r="AZ102" s="1382"/>
      <c r="BA102" s="1382"/>
      <c r="BB102" s="1382"/>
      <c r="BC102" s="1382"/>
      <c r="BD102" s="1382"/>
      <c r="BE102" s="1382"/>
      <c r="BF102" s="1382"/>
      <c r="BG102" s="1382"/>
      <c r="BH102" s="1382"/>
      <c r="BI102" s="1382"/>
      <c r="BJ102" s="1382"/>
      <c r="BK102" s="1382"/>
      <c r="BL102" s="1382"/>
      <c r="BM102" s="1382"/>
      <c r="BN102" s="1382"/>
      <c r="BO102" s="1382"/>
      <c r="BP102" s="1382"/>
      <c r="BQ102" s="1382"/>
      <c r="BR102" s="1382"/>
      <c r="BS102" s="1382"/>
      <c r="BT102" s="1382"/>
      <c r="BU102" s="1382"/>
      <c r="BV102" s="1382"/>
      <c r="BW102" s="1382"/>
      <c r="BX102" s="1382"/>
      <c r="BY102" s="1382"/>
      <c r="BZ102" s="1382"/>
      <c r="CA102" s="1382"/>
      <c r="CB102" s="1382"/>
      <c r="CC102" s="1382"/>
      <c r="CD102" s="1382"/>
      <c r="CE102" s="1382"/>
      <c r="CF102" s="1382"/>
      <c r="CG102" s="1382"/>
      <c r="CH102" s="1382"/>
      <c r="CI102" s="1382"/>
      <c r="CJ102" s="1382"/>
      <c r="CK102" s="1382"/>
      <c r="CL102" s="1382"/>
      <c r="CM102" s="1382"/>
      <c r="CN102" s="1382"/>
      <c r="CO102" s="1382"/>
      <c r="CP102" s="1382"/>
      <c r="CQ102" s="1382"/>
      <c r="CR102" s="1382"/>
      <c r="CS102" s="1382"/>
      <c r="CT102" s="1382"/>
      <c r="CU102" s="1382"/>
      <c r="CV102" s="1382"/>
      <c r="CW102" s="1382"/>
      <c r="CX102" s="1382"/>
      <c r="CY102" s="1382"/>
      <c r="CZ102" s="1382"/>
      <c r="DA102" s="1382"/>
      <c r="DB102" s="1382"/>
      <c r="DC102" s="1382"/>
      <c r="DD102" s="1382"/>
      <c r="DE102" s="1382"/>
      <c r="DF102" s="1382"/>
      <c r="DG102" s="1382"/>
      <c r="DH102" s="1382"/>
      <c r="DI102" s="1382"/>
      <c r="DJ102" s="1382"/>
      <c r="DK102" s="1382"/>
      <c r="DL102" s="1382"/>
      <c r="DM102" s="1382"/>
      <c r="DN102" s="1382"/>
      <c r="DO102" s="1382"/>
      <c r="DP102" s="1382"/>
      <c r="DQ102" s="1382"/>
      <c r="DR102" s="1382"/>
      <c r="DS102" s="1382"/>
      <c r="DT102" s="1382"/>
      <c r="DU102" s="1382"/>
      <c r="DV102" s="1382"/>
      <c r="DW102" s="1382"/>
      <c r="DX102" s="1382"/>
      <c r="DY102" s="1382"/>
      <c r="DZ102" s="1382"/>
      <c r="EA102" s="1382"/>
      <c r="EB102" s="1382"/>
      <c r="EC102" s="1382"/>
      <c r="ED102" s="1382"/>
      <c r="EE102" s="1382"/>
      <c r="EF102" s="1382"/>
      <c r="EG102" s="1382"/>
      <c r="EH102" s="1382"/>
      <c r="EI102" s="1382"/>
      <c r="EJ102" s="1382"/>
      <c r="EK102" s="1382"/>
      <c r="EL102" s="1382"/>
      <c r="EM102" s="1382"/>
      <c r="EN102" s="1382"/>
      <c r="EO102" s="1382"/>
      <c r="EP102" s="1382"/>
      <c r="EQ102" s="1382"/>
      <c r="ER102" s="1382"/>
      <c r="ES102" s="1382"/>
      <c r="ET102" s="1382"/>
      <c r="EU102" s="1382"/>
      <c r="EV102" s="1382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2"/>
      <c r="FK102" s="190"/>
      <c r="FL102" s="182"/>
      <c r="FM102" s="182"/>
    </row>
    <row r="103" spans="1:169" ht="3" customHeight="1">
      <c r="A103" s="183"/>
      <c r="B103" s="183"/>
      <c r="C103" s="179"/>
      <c r="E103" s="183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382"/>
      <c r="R103" s="1382"/>
      <c r="S103" s="1382"/>
      <c r="T103" s="1382"/>
      <c r="U103" s="1382"/>
      <c r="V103" s="1382"/>
      <c r="W103" s="1382"/>
      <c r="X103" s="1382"/>
      <c r="Y103" s="1382"/>
      <c r="Z103" s="1382"/>
      <c r="AA103" s="1382"/>
      <c r="AB103" s="1382"/>
      <c r="AC103" s="1382"/>
      <c r="AD103" s="1382"/>
      <c r="AE103" s="1382"/>
      <c r="AF103" s="1382"/>
      <c r="AG103" s="1382"/>
      <c r="AH103" s="1382"/>
      <c r="AI103" s="1382"/>
      <c r="AJ103" s="1382"/>
      <c r="AK103" s="1382"/>
      <c r="AL103" s="1382"/>
      <c r="AM103" s="1382"/>
      <c r="AN103" s="1382"/>
      <c r="AO103" s="1382"/>
      <c r="AP103" s="1382"/>
      <c r="AQ103" s="1382"/>
      <c r="AR103" s="1382"/>
      <c r="AS103" s="1382"/>
      <c r="AT103" s="1382"/>
      <c r="AU103" s="1382"/>
      <c r="AV103" s="1382"/>
      <c r="AW103" s="1382"/>
      <c r="AX103" s="1382"/>
      <c r="AY103" s="1382"/>
      <c r="AZ103" s="1382"/>
      <c r="BA103" s="1382"/>
      <c r="BB103" s="1382"/>
      <c r="BC103" s="1382"/>
      <c r="BD103" s="1382"/>
      <c r="BE103" s="1382"/>
      <c r="BF103" s="1382"/>
      <c r="BG103" s="1382"/>
      <c r="BH103" s="1382"/>
      <c r="BI103" s="1382"/>
      <c r="BJ103" s="1382"/>
      <c r="BK103" s="1382"/>
      <c r="BL103" s="1382"/>
      <c r="BM103" s="1382"/>
      <c r="BN103" s="1382"/>
      <c r="BO103" s="1382"/>
      <c r="BP103" s="1382"/>
      <c r="BQ103" s="1382"/>
      <c r="BR103" s="1382"/>
      <c r="BS103" s="1382"/>
      <c r="BT103" s="1382"/>
      <c r="BU103" s="1382"/>
      <c r="BV103" s="1382"/>
      <c r="BW103" s="1382"/>
      <c r="BX103" s="1382"/>
      <c r="BY103" s="1382"/>
      <c r="BZ103" s="1382"/>
      <c r="CA103" s="1382"/>
      <c r="CB103" s="1382"/>
      <c r="CC103" s="1382"/>
      <c r="CD103" s="1382"/>
      <c r="CE103" s="1382"/>
      <c r="CF103" s="1382"/>
      <c r="CG103" s="1382"/>
      <c r="CH103" s="1382"/>
      <c r="CI103" s="1382"/>
      <c r="CJ103" s="1382"/>
      <c r="CK103" s="1382"/>
      <c r="CL103" s="1382"/>
      <c r="CM103" s="1382"/>
      <c r="CN103" s="1382"/>
      <c r="CO103" s="1382"/>
      <c r="CP103" s="1382"/>
      <c r="CQ103" s="1382"/>
      <c r="CR103" s="1382"/>
      <c r="CS103" s="1382"/>
      <c r="CT103" s="1382"/>
      <c r="CU103" s="1382"/>
      <c r="CV103" s="1382"/>
      <c r="CW103" s="1382"/>
      <c r="CX103" s="1382"/>
      <c r="CY103" s="1382"/>
      <c r="CZ103" s="1382"/>
      <c r="DA103" s="1382"/>
      <c r="DB103" s="1382"/>
      <c r="DC103" s="1382"/>
      <c r="DD103" s="1382"/>
      <c r="DE103" s="1382"/>
      <c r="DF103" s="1382"/>
      <c r="DG103" s="1382"/>
      <c r="DH103" s="1382"/>
      <c r="DI103" s="1382"/>
      <c r="DJ103" s="1382"/>
      <c r="DK103" s="1382"/>
      <c r="DL103" s="1382"/>
      <c r="DM103" s="1382"/>
      <c r="DN103" s="1382"/>
      <c r="DO103" s="1382"/>
      <c r="DP103" s="1382"/>
      <c r="DQ103" s="1382"/>
      <c r="DR103" s="1382"/>
      <c r="DS103" s="1382"/>
      <c r="DT103" s="1382"/>
      <c r="DU103" s="1382"/>
      <c r="DV103" s="1382"/>
      <c r="DW103" s="1382"/>
      <c r="DX103" s="1382"/>
      <c r="DY103" s="1382"/>
      <c r="DZ103" s="1382"/>
      <c r="EA103" s="1382"/>
      <c r="EB103" s="1382"/>
      <c r="EC103" s="1382"/>
      <c r="ED103" s="1382"/>
      <c r="EE103" s="1382"/>
      <c r="EF103" s="1382"/>
      <c r="EG103" s="1382"/>
      <c r="EH103" s="1382"/>
      <c r="EI103" s="1382"/>
      <c r="EJ103" s="1382"/>
      <c r="EK103" s="1382"/>
      <c r="EL103" s="1382"/>
      <c r="EM103" s="1382"/>
      <c r="EN103" s="1382"/>
      <c r="EO103" s="1382"/>
      <c r="EP103" s="1382"/>
      <c r="EQ103" s="1382"/>
      <c r="ER103" s="1382"/>
      <c r="ES103" s="1382"/>
      <c r="ET103" s="1382"/>
      <c r="EU103" s="1382"/>
      <c r="EV103" s="1382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2"/>
      <c r="FK103" s="180"/>
      <c r="FL103" s="182"/>
      <c r="FM103" s="182"/>
    </row>
    <row r="104" spans="1:169" ht="3" customHeight="1">
      <c r="A104" s="183"/>
      <c r="B104" s="190"/>
      <c r="C104" s="183"/>
      <c r="D104" s="183"/>
      <c r="E104" s="183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382"/>
      <c r="R104" s="1382"/>
      <c r="S104" s="1382"/>
      <c r="T104" s="1382"/>
      <c r="U104" s="1382"/>
      <c r="V104" s="1382"/>
      <c r="W104" s="1382"/>
      <c r="X104" s="1382"/>
      <c r="Y104" s="1382"/>
      <c r="Z104" s="1382"/>
      <c r="AA104" s="1382"/>
      <c r="AB104" s="1382"/>
      <c r="AC104" s="1382"/>
      <c r="AD104" s="1382"/>
      <c r="AE104" s="1382"/>
      <c r="AF104" s="1382"/>
      <c r="AG104" s="1382"/>
      <c r="AH104" s="1382"/>
      <c r="AI104" s="1382"/>
      <c r="AJ104" s="1382"/>
      <c r="AK104" s="1382"/>
      <c r="AL104" s="1382"/>
      <c r="AM104" s="1382"/>
      <c r="AN104" s="1382"/>
      <c r="AO104" s="1382"/>
      <c r="AP104" s="1382"/>
      <c r="AQ104" s="1382"/>
      <c r="AR104" s="1382"/>
      <c r="AS104" s="1382"/>
      <c r="AT104" s="1382"/>
      <c r="AU104" s="1382"/>
      <c r="AV104" s="1382"/>
      <c r="AW104" s="1382"/>
      <c r="AX104" s="1382"/>
      <c r="AY104" s="1382"/>
      <c r="AZ104" s="1382"/>
      <c r="BA104" s="1382"/>
      <c r="BB104" s="1382"/>
      <c r="BC104" s="1382"/>
      <c r="BD104" s="1382"/>
      <c r="BE104" s="1382"/>
      <c r="BF104" s="1382"/>
      <c r="BG104" s="1382"/>
      <c r="BH104" s="1382"/>
      <c r="BI104" s="1382"/>
      <c r="BJ104" s="1382"/>
      <c r="BK104" s="1382"/>
      <c r="BL104" s="1382"/>
      <c r="BM104" s="1382"/>
      <c r="BN104" s="1382"/>
      <c r="BO104" s="1382"/>
      <c r="BP104" s="1382"/>
      <c r="BQ104" s="1382"/>
      <c r="BR104" s="1382"/>
      <c r="BS104" s="1382"/>
      <c r="BT104" s="1382"/>
      <c r="BU104" s="1382"/>
      <c r="BV104" s="1382"/>
      <c r="BW104" s="1382"/>
      <c r="BX104" s="1382"/>
      <c r="BY104" s="1382"/>
      <c r="BZ104" s="1382"/>
      <c r="CA104" s="1382"/>
      <c r="CB104" s="1382"/>
      <c r="CC104" s="1382"/>
      <c r="CD104" s="1382"/>
      <c r="CE104" s="1382"/>
      <c r="CF104" s="1382"/>
      <c r="CG104" s="1382"/>
      <c r="CH104" s="1382"/>
      <c r="CI104" s="1382"/>
      <c r="CJ104" s="1382"/>
      <c r="CK104" s="1382"/>
      <c r="CL104" s="1382"/>
      <c r="CM104" s="1382"/>
      <c r="CN104" s="1382"/>
      <c r="CO104" s="1382"/>
      <c r="CP104" s="1382"/>
      <c r="CQ104" s="1382"/>
      <c r="CR104" s="1382"/>
      <c r="CS104" s="1382"/>
      <c r="CT104" s="1382"/>
      <c r="CU104" s="1382"/>
      <c r="CV104" s="1382"/>
      <c r="CW104" s="1382"/>
      <c r="CX104" s="1382"/>
      <c r="CY104" s="1382"/>
      <c r="CZ104" s="1382"/>
      <c r="DA104" s="1382"/>
      <c r="DB104" s="1382"/>
      <c r="DC104" s="1382"/>
      <c r="DD104" s="1382"/>
      <c r="DE104" s="1382"/>
      <c r="DF104" s="1382"/>
      <c r="DG104" s="1382"/>
      <c r="DH104" s="1382"/>
      <c r="DI104" s="1382"/>
      <c r="DJ104" s="1382"/>
      <c r="DK104" s="1382"/>
      <c r="DL104" s="1382"/>
      <c r="DM104" s="1382"/>
      <c r="DN104" s="1382"/>
      <c r="DO104" s="1382"/>
      <c r="DP104" s="1382"/>
      <c r="DQ104" s="1382"/>
      <c r="DR104" s="1382"/>
      <c r="DS104" s="1382"/>
      <c r="DT104" s="1382"/>
      <c r="DU104" s="1382"/>
      <c r="DV104" s="1382"/>
      <c r="DW104" s="1382"/>
      <c r="DX104" s="1382"/>
      <c r="DY104" s="1382"/>
      <c r="DZ104" s="1382"/>
      <c r="EA104" s="1382"/>
      <c r="EB104" s="1382"/>
      <c r="EC104" s="1382"/>
      <c r="ED104" s="1382"/>
      <c r="EE104" s="1382"/>
      <c r="EF104" s="1382"/>
      <c r="EG104" s="1382"/>
      <c r="EH104" s="1382"/>
      <c r="EI104" s="1382"/>
      <c r="EJ104" s="1382"/>
      <c r="EK104" s="1382"/>
      <c r="EL104" s="1382"/>
      <c r="EM104" s="1382"/>
      <c r="EN104" s="1382"/>
      <c r="EO104" s="1382"/>
      <c r="EP104" s="1382"/>
      <c r="EQ104" s="1382"/>
      <c r="ER104" s="1382"/>
      <c r="ES104" s="1382"/>
      <c r="ET104" s="1382"/>
      <c r="EU104" s="1382"/>
      <c r="EV104" s="1382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2"/>
      <c r="FK104" s="183"/>
      <c r="FL104" s="190"/>
      <c r="FM104" s="182"/>
    </row>
    <row r="105" spans="1:169" ht="3" customHeight="1">
      <c r="A105" s="183"/>
      <c r="B105" s="179"/>
      <c r="D105" s="183"/>
      <c r="E105" s="183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382"/>
      <c r="R105" s="1382"/>
      <c r="S105" s="1382"/>
      <c r="T105" s="1382"/>
      <c r="U105" s="1382"/>
      <c r="V105" s="1382"/>
      <c r="W105" s="1382"/>
      <c r="X105" s="1382"/>
      <c r="Y105" s="1382"/>
      <c r="Z105" s="1382"/>
      <c r="AA105" s="1382"/>
      <c r="AB105" s="1382"/>
      <c r="AC105" s="1382"/>
      <c r="AD105" s="1382"/>
      <c r="AE105" s="1382"/>
      <c r="AF105" s="1382"/>
      <c r="AG105" s="1382"/>
      <c r="AH105" s="1382"/>
      <c r="AI105" s="1382"/>
      <c r="AJ105" s="1382"/>
      <c r="AK105" s="1382"/>
      <c r="AL105" s="1382"/>
      <c r="AM105" s="1382"/>
      <c r="AN105" s="1382"/>
      <c r="AO105" s="1382"/>
      <c r="AP105" s="1382"/>
      <c r="AQ105" s="1382"/>
      <c r="AR105" s="1382"/>
      <c r="AS105" s="1382"/>
      <c r="AT105" s="1382"/>
      <c r="AU105" s="1382"/>
      <c r="AV105" s="1382"/>
      <c r="AW105" s="1382"/>
      <c r="AX105" s="1382"/>
      <c r="AY105" s="1382"/>
      <c r="AZ105" s="1382"/>
      <c r="BA105" s="1382"/>
      <c r="BB105" s="1382"/>
      <c r="BC105" s="1382"/>
      <c r="BD105" s="1382"/>
      <c r="BE105" s="1382"/>
      <c r="BF105" s="1382"/>
      <c r="BG105" s="1382"/>
      <c r="BH105" s="1382"/>
      <c r="BI105" s="1382"/>
      <c r="BJ105" s="1382"/>
      <c r="BK105" s="1382"/>
      <c r="BL105" s="1382"/>
      <c r="BM105" s="1382"/>
      <c r="BN105" s="1382"/>
      <c r="BO105" s="1382"/>
      <c r="BP105" s="1382"/>
      <c r="BQ105" s="1382"/>
      <c r="BR105" s="1382"/>
      <c r="BS105" s="1382"/>
      <c r="BT105" s="1382"/>
      <c r="BU105" s="1382"/>
      <c r="BV105" s="1382"/>
      <c r="BW105" s="1382"/>
      <c r="BX105" s="1382"/>
      <c r="BY105" s="1382"/>
      <c r="BZ105" s="1382"/>
      <c r="CA105" s="1382"/>
      <c r="CB105" s="1382"/>
      <c r="CC105" s="1382"/>
      <c r="CD105" s="1382"/>
      <c r="CE105" s="1382"/>
      <c r="CF105" s="1382"/>
      <c r="CG105" s="1382"/>
      <c r="CH105" s="1382"/>
      <c r="CI105" s="1382"/>
      <c r="CJ105" s="1382"/>
      <c r="CK105" s="1382"/>
      <c r="CL105" s="1382"/>
      <c r="CM105" s="1382"/>
      <c r="CN105" s="1382"/>
      <c r="CO105" s="1382"/>
      <c r="CP105" s="1382"/>
      <c r="CQ105" s="1382"/>
      <c r="CR105" s="1382"/>
      <c r="CS105" s="1382"/>
      <c r="CT105" s="1382"/>
      <c r="CU105" s="1382"/>
      <c r="CV105" s="1382"/>
      <c r="CW105" s="1382"/>
      <c r="CX105" s="1382"/>
      <c r="CY105" s="1382"/>
      <c r="CZ105" s="1382"/>
      <c r="DA105" s="1382"/>
      <c r="DB105" s="1382"/>
      <c r="DC105" s="1382"/>
      <c r="DD105" s="1382"/>
      <c r="DE105" s="1382"/>
      <c r="DF105" s="1382"/>
      <c r="DG105" s="1382"/>
      <c r="DH105" s="1382"/>
      <c r="DI105" s="1382"/>
      <c r="DJ105" s="1382"/>
      <c r="DK105" s="1382"/>
      <c r="DL105" s="1382"/>
      <c r="DM105" s="1382"/>
      <c r="DN105" s="1382"/>
      <c r="DO105" s="1382"/>
      <c r="DP105" s="1382"/>
      <c r="DQ105" s="1382"/>
      <c r="DR105" s="1382"/>
      <c r="DS105" s="1382"/>
      <c r="DT105" s="1382"/>
      <c r="DU105" s="1382"/>
      <c r="DV105" s="1382"/>
      <c r="DW105" s="1382"/>
      <c r="DX105" s="1382"/>
      <c r="DY105" s="1382"/>
      <c r="DZ105" s="1382"/>
      <c r="EA105" s="1382"/>
      <c r="EB105" s="1382"/>
      <c r="EC105" s="1382"/>
      <c r="ED105" s="1382"/>
      <c r="EE105" s="1382"/>
      <c r="EF105" s="1382"/>
      <c r="EG105" s="1382"/>
      <c r="EH105" s="1382"/>
      <c r="EI105" s="1382"/>
      <c r="EJ105" s="1382"/>
      <c r="EK105" s="1382"/>
      <c r="EL105" s="1382"/>
      <c r="EM105" s="1382"/>
      <c r="EN105" s="1382"/>
      <c r="EO105" s="1382"/>
      <c r="EP105" s="1382"/>
      <c r="EQ105" s="1382"/>
      <c r="ER105" s="1382"/>
      <c r="ES105" s="1382"/>
      <c r="ET105" s="1382"/>
      <c r="EU105" s="1382"/>
      <c r="EV105" s="1382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2"/>
      <c r="FK105" s="183"/>
      <c r="FL105" s="180"/>
      <c r="FM105" s="182"/>
    </row>
    <row r="106" spans="1:169" ht="3" customHeight="1">
      <c r="A106" s="183"/>
      <c r="B106" s="191"/>
      <c r="C106" s="190"/>
      <c r="D106" s="183"/>
      <c r="E106" s="183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382"/>
      <c r="R106" s="1382"/>
      <c r="S106" s="1382"/>
      <c r="T106" s="1382"/>
      <c r="U106" s="1382"/>
      <c r="V106" s="1382"/>
      <c r="W106" s="1382"/>
      <c r="X106" s="1382"/>
      <c r="Y106" s="1382"/>
      <c r="Z106" s="1382"/>
      <c r="AA106" s="1382"/>
      <c r="AB106" s="1382"/>
      <c r="AC106" s="1382"/>
      <c r="AD106" s="1382"/>
      <c r="AE106" s="1382"/>
      <c r="AF106" s="1382"/>
      <c r="AG106" s="1382"/>
      <c r="AH106" s="1382"/>
      <c r="AI106" s="1382"/>
      <c r="AJ106" s="1382"/>
      <c r="AK106" s="1382"/>
      <c r="AL106" s="1382"/>
      <c r="AM106" s="1382"/>
      <c r="AN106" s="1382"/>
      <c r="AO106" s="1382"/>
      <c r="AP106" s="1382"/>
      <c r="AQ106" s="1382"/>
      <c r="AR106" s="1382"/>
      <c r="AS106" s="1382"/>
      <c r="AT106" s="1382"/>
      <c r="AU106" s="1382"/>
      <c r="AV106" s="1382"/>
      <c r="AW106" s="1382"/>
      <c r="AX106" s="1382"/>
      <c r="AY106" s="1382"/>
      <c r="AZ106" s="1382"/>
      <c r="BA106" s="1382"/>
      <c r="BB106" s="1382"/>
      <c r="BC106" s="1382"/>
      <c r="BD106" s="1382"/>
      <c r="BE106" s="1382"/>
      <c r="BF106" s="1382"/>
      <c r="BG106" s="1382"/>
      <c r="BH106" s="1382"/>
      <c r="BI106" s="1382"/>
      <c r="BJ106" s="1382"/>
      <c r="BK106" s="1382"/>
      <c r="BL106" s="1382"/>
      <c r="BM106" s="1382"/>
      <c r="BN106" s="1382"/>
      <c r="BO106" s="1382"/>
      <c r="BP106" s="1382"/>
      <c r="BQ106" s="1382"/>
      <c r="BR106" s="1382"/>
      <c r="BS106" s="1382"/>
      <c r="BT106" s="1382"/>
      <c r="BU106" s="1382"/>
      <c r="BV106" s="1382"/>
      <c r="BW106" s="1382"/>
      <c r="BX106" s="1382"/>
      <c r="BY106" s="1382"/>
      <c r="BZ106" s="1382"/>
      <c r="CA106" s="1382"/>
      <c r="CB106" s="1382"/>
      <c r="CC106" s="1382"/>
      <c r="CD106" s="1382"/>
      <c r="CE106" s="1382"/>
      <c r="CF106" s="1382"/>
      <c r="CG106" s="1382"/>
      <c r="CH106" s="1382"/>
      <c r="CI106" s="1382"/>
      <c r="CJ106" s="1382"/>
      <c r="CK106" s="1382"/>
      <c r="CL106" s="1382"/>
      <c r="CM106" s="1382"/>
      <c r="CN106" s="1382"/>
      <c r="CO106" s="1382"/>
      <c r="CP106" s="1382"/>
      <c r="CQ106" s="1382"/>
      <c r="CR106" s="1382"/>
      <c r="CS106" s="1382"/>
      <c r="CT106" s="1382"/>
      <c r="CU106" s="1382"/>
      <c r="CV106" s="1382"/>
      <c r="CW106" s="1382"/>
      <c r="CX106" s="1382"/>
      <c r="CY106" s="1382"/>
      <c r="CZ106" s="1382"/>
      <c r="DA106" s="1382"/>
      <c r="DB106" s="1382"/>
      <c r="DC106" s="1382"/>
      <c r="DD106" s="1382"/>
      <c r="DE106" s="1382"/>
      <c r="DF106" s="1382"/>
      <c r="DG106" s="1382"/>
      <c r="DH106" s="1382"/>
      <c r="DI106" s="1382"/>
      <c r="DJ106" s="1382"/>
      <c r="DK106" s="1382"/>
      <c r="DL106" s="1382"/>
      <c r="DM106" s="1382"/>
      <c r="DN106" s="1382"/>
      <c r="DO106" s="1382"/>
      <c r="DP106" s="1382"/>
      <c r="DQ106" s="1382"/>
      <c r="DR106" s="1382"/>
      <c r="DS106" s="1382"/>
      <c r="DT106" s="1382"/>
      <c r="DU106" s="1382"/>
      <c r="DV106" s="1382"/>
      <c r="DW106" s="1382"/>
      <c r="DX106" s="1382"/>
      <c r="DY106" s="1382"/>
      <c r="DZ106" s="1382"/>
      <c r="EA106" s="1382"/>
      <c r="EB106" s="1382"/>
      <c r="EC106" s="1382"/>
      <c r="ED106" s="1382"/>
      <c r="EE106" s="1382"/>
      <c r="EF106" s="1382"/>
      <c r="EG106" s="1382"/>
      <c r="EH106" s="1382"/>
      <c r="EI106" s="1382"/>
      <c r="EJ106" s="1382"/>
      <c r="EK106" s="1382"/>
      <c r="EL106" s="1382"/>
      <c r="EM106" s="1382"/>
      <c r="EN106" s="1382"/>
      <c r="EO106" s="1382"/>
      <c r="EP106" s="1382"/>
      <c r="EQ106" s="1382"/>
      <c r="ER106" s="1382"/>
      <c r="ES106" s="1382"/>
      <c r="ET106" s="1382"/>
      <c r="EU106" s="1382"/>
      <c r="EV106" s="1382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2"/>
      <c r="FK106" s="190"/>
      <c r="FL106" s="182"/>
      <c r="FM106" s="182"/>
    </row>
    <row r="107" spans="1:169" ht="3" customHeight="1">
      <c r="A107" s="183"/>
      <c r="B107" s="183"/>
      <c r="C107" s="179"/>
      <c r="E107" s="183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382"/>
      <c r="R107" s="1382"/>
      <c r="S107" s="1382"/>
      <c r="T107" s="1382"/>
      <c r="U107" s="1382"/>
      <c r="V107" s="1382"/>
      <c r="W107" s="1382"/>
      <c r="X107" s="1382"/>
      <c r="Y107" s="1382"/>
      <c r="Z107" s="1382"/>
      <c r="AA107" s="1382"/>
      <c r="AB107" s="1382"/>
      <c r="AC107" s="1382"/>
      <c r="AD107" s="1382"/>
      <c r="AE107" s="1382"/>
      <c r="AF107" s="1382"/>
      <c r="AG107" s="1382"/>
      <c r="AH107" s="1382"/>
      <c r="AI107" s="1382"/>
      <c r="AJ107" s="1382"/>
      <c r="AK107" s="1382"/>
      <c r="AL107" s="1382"/>
      <c r="AM107" s="1382"/>
      <c r="AN107" s="1382"/>
      <c r="AO107" s="1382"/>
      <c r="AP107" s="1382"/>
      <c r="AQ107" s="1382"/>
      <c r="AR107" s="1382"/>
      <c r="AS107" s="1382"/>
      <c r="AT107" s="1382"/>
      <c r="AU107" s="1382"/>
      <c r="AV107" s="1382"/>
      <c r="AW107" s="1382"/>
      <c r="AX107" s="1382"/>
      <c r="AY107" s="1382"/>
      <c r="AZ107" s="1382"/>
      <c r="BA107" s="1382"/>
      <c r="BB107" s="1382"/>
      <c r="BC107" s="1382"/>
      <c r="BD107" s="1382"/>
      <c r="BE107" s="1382"/>
      <c r="BF107" s="1382"/>
      <c r="BG107" s="1382"/>
      <c r="BH107" s="1382"/>
      <c r="BI107" s="1382"/>
      <c r="BJ107" s="1382"/>
      <c r="BK107" s="1382"/>
      <c r="BL107" s="1382"/>
      <c r="BM107" s="1382"/>
      <c r="BN107" s="1382"/>
      <c r="BO107" s="1382"/>
      <c r="BP107" s="1382"/>
      <c r="BQ107" s="1382"/>
      <c r="BR107" s="1382"/>
      <c r="BS107" s="1382"/>
      <c r="BT107" s="1382"/>
      <c r="BU107" s="1382"/>
      <c r="BV107" s="1382"/>
      <c r="BW107" s="1382"/>
      <c r="BX107" s="1382"/>
      <c r="BY107" s="1382"/>
      <c r="BZ107" s="1382"/>
      <c r="CA107" s="1382"/>
      <c r="CB107" s="1382"/>
      <c r="CC107" s="1382"/>
      <c r="CD107" s="1382"/>
      <c r="CE107" s="1382"/>
      <c r="CF107" s="1382"/>
      <c r="CG107" s="1382"/>
      <c r="CH107" s="1382"/>
      <c r="CI107" s="1382"/>
      <c r="CJ107" s="1382"/>
      <c r="CK107" s="1382"/>
      <c r="CL107" s="1382"/>
      <c r="CM107" s="1382"/>
      <c r="CN107" s="1382"/>
      <c r="CO107" s="1382"/>
      <c r="CP107" s="1382"/>
      <c r="CQ107" s="1382"/>
      <c r="CR107" s="1382"/>
      <c r="CS107" s="1382"/>
      <c r="CT107" s="1382"/>
      <c r="CU107" s="1382"/>
      <c r="CV107" s="1382"/>
      <c r="CW107" s="1382"/>
      <c r="CX107" s="1382"/>
      <c r="CY107" s="1382"/>
      <c r="CZ107" s="1382"/>
      <c r="DA107" s="1382"/>
      <c r="DB107" s="1382"/>
      <c r="DC107" s="1382"/>
      <c r="DD107" s="1382"/>
      <c r="DE107" s="1382"/>
      <c r="DF107" s="1382"/>
      <c r="DG107" s="1382"/>
      <c r="DH107" s="1382"/>
      <c r="DI107" s="1382"/>
      <c r="DJ107" s="1382"/>
      <c r="DK107" s="1382"/>
      <c r="DL107" s="1382"/>
      <c r="DM107" s="1382"/>
      <c r="DN107" s="1382"/>
      <c r="DO107" s="1382"/>
      <c r="DP107" s="1382"/>
      <c r="DQ107" s="1382"/>
      <c r="DR107" s="1382"/>
      <c r="DS107" s="1382"/>
      <c r="DT107" s="1382"/>
      <c r="DU107" s="1382"/>
      <c r="DV107" s="1382"/>
      <c r="DW107" s="1382"/>
      <c r="DX107" s="1382"/>
      <c r="DY107" s="1382"/>
      <c r="DZ107" s="1382"/>
      <c r="EA107" s="1382"/>
      <c r="EB107" s="1382"/>
      <c r="EC107" s="1382"/>
      <c r="ED107" s="1382"/>
      <c r="EE107" s="1382"/>
      <c r="EF107" s="1382"/>
      <c r="EG107" s="1382"/>
      <c r="EH107" s="1382"/>
      <c r="EI107" s="1382"/>
      <c r="EJ107" s="1382"/>
      <c r="EK107" s="1382"/>
      <c r="EL107" s="1382"/>
      <c r="EM107" s="1382"/>
      <c r="EN107" s="1382"/>
      <c r="EO107" s="1382"/>
      <c r="EP107" s="1382"/>
      <c r="EQ107" s="1382"/>
      <c r="ER107" s="1382"/>
      <c r="ES107" s="1382"/>
      <c r="ET107" s="1382"/>
      <c r="EU107" s="1382"/>
      <c r="EV107" s="1382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2"/>
      <c r="FK107" s="180"/>
      <c r="FL107" s="182"/>
      <c r="FM107" s="182"/>
    </row>
    <row r="108" spans="1:169" ht="3" customHeight="1">
      <c r="A108" s="183"/>
      <c r="B108" s="181"/>
      <c r="C108" s="191"/>
      <c r="D108" s="183"/>
      <c r="E108" s="183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382"/>
      <c r="R108" s="1382"/>
      <c r="S108" s="1382"/>
      <c r="T108" s="1382"/>
      <c r="U108" s="1382"/>
      <c r="V108" s="1382"/>
      <c r="W108" s="1382"/>
      <c r="X108" s="1382"/>
      <c r="Y108" s="1382"/>
      <c r="Z108" s="1382"/>
      <c r="AA108" s="1382"/>
      <c r="AB108" s="1382"/>
      <c r="AC108" s="1382"/>
      <c r="AD108" s="1382"/>
      <c r="AE108" s="1382"/>
      <c r="AF108" s="1382"/>
      <c r="AG108" s="1382"/>
      <c r="AH108" s="1382"/>
      <c r="AI108" s="1382"/>
      <c r="AJ108" s="1382"/>
      <c r="AK108" s="1382"/>
      <c r="AL108" s="1382"/>
      <c r="AM108" s="1382"/>
      <c r="AN108" s="1382"/>
      <c r="AO108" s="1382"/>
      <c r="AP108" s="1382"/>
      <c r="AQ108" s="1382"/>
      <c r="AR108" s="1382"/>
      <c r="AS108" s="1382"/>
      <c r="AT108" s="1382"/>
      <c r="AU108" s="1382"/>
      <c r="AV108" s="1382"/>
      <c r="AW108" s="1382"/>
      <c r="AX108" s="1382"/>
      <c r="AY108" s="1382"/>
      <c r="AZ108" s="1382"/>
      <c r="BA108" s="1382"/>
      <c r="BB108" s="1382"/>
      <c r="BC108" s="1382"/>
      <c r="BD108" s="1382"/>
      <c r="BE108" s="1382"/>
      <c r="BF108" s="1382"/>
      <c r="BG108" s="1382"/>
      <c r="BH108" s="1382"/>
      <c r="BI108" s="1382"/>
      <c r="BJ108" s="1382"/>
      <c r="BK108" s="1382"/>
      <c r="BL108" s="1382"/>
      <c r="BM108" s="1382"/>
      <c r="BN108" s="1382"/>
      <c r="BO108" s="1382"/>
      <c r="BP108" s="1382"/>
      <c r="BQ108" s="1382"/>
      <c r="BR108" s="1382"/>
      <c r="BS108" s="1382"/>
      <c r="BT108" s="1382"/>
      <c r="BU108" s="1382"/>
      <c r="BV108" s="1382"/>
      <c r="BW108" s="1382"/>
      <c r="BX108" s="1382"/>
      <c r="BY108" s="1382"/>
      <c r="BZ108" s="1382"/>
      <c r="CA108" s="1382"/>
      <c r="CB108" s="1382"/>
      <c r="CC108" s="1382"/>
      <c r="CD108" s="1382"/>
      <c r="CE108" s="1382"/>
      <c r="CF108" s="1382"/>
      <c r="CG108" s="1382"/>
      <c r="CH108" s="1382"/>
      <c r="CI108" s="1382"/>
      <c r="CJ108" s="1382"/>
      <c r="CK108" s="1382"/>
      <c r="CL108" s="1382"/>
      <c r="CM108" s="1382"/>
      <c r="CN108" s="1382"/>
      <c r="CO108" s="1382"/>
      <c r="CP108" s="1382"/>
      <c r="CQ108" s="1382"/>
      <c r="CR108" s="1382"/>
      <c r="CS108" s="1382"/>
      <c r="CT108" s="1382"/>
      <c r="CU108" s="1382"/>
      <c r="CV108" s="1382"/>
      <c r="CW108" s="1382"/>
      <c r="CX108" s="1382"/>
      <c r="CY108" s="1382"/>
      <c r="CZ108" s="1382"/>
      <c r="DA108" s="1382"/>
      <c r="DB108" s="1382"/>
      <c r="DC108" s="1382"/>
      <c r="DD108" s="1382"/>
      <c r="DE108" s="1382"/>
      <c r="DF108" s="1382"/>
      <c r="DG108" s="1382"/>
      <c r="DH108" s="1382"/>
      <c r="DI108" s="1382"/>
      <c r="DJ108" s="1382"/>
      <c r="DK108" s="1382"/>
      <c r="DL108" s="1382"/>
      <c r="DM108" s="1382"/>
      <c r="DN108" s="1382"/>
      <c r="DO108" s="1382"/>
      <c r="DP108" s="1382"/>
      <c r="DQ108" s="1382"/>
      <c r="DR108" s="1382"/>
      <c r="DS108" s="1382"/>
      <c r="DT108" s="1382"/>
      <c r="DU108" s="1382"/>
      <c r="DV108" s="1382"/>
      <c r="DW108" s="1382"/>
      <c r="DX108" s="1382"/>
      <c r="DY108" s="1382"/>
      <c r="DZ108" s="1382"/>
      <c r="EA108" s="1382"/>
      <c r="EB108" s="1382"/>
      <c r="EC108" s="1382"/>
      <c r="ED108" s="1382"/>
      <c r="EE108" s="1382"/>
      <c r="EF108" s="1382"/>
      <c r="EG108" s="1382"/>
      <c r="EH108" s="1382"/>
      <c r="EI108" s="1382"/>
      <c r="EJ108" s="1382"/>
      <c r="EK108" s="1382"/>
      <c r="EL108" s="1382"/>
      <c r="EM108" s="1382"/>
      <c r="EN108" s="1382"/>
      <c r="EO108" s="1382"/>
      <c r="EP108" s="1382"/>
      <c r="EQ108" s="1382"/>
      <c r="ER108" s="1382"/>
      <c r="ES108" s="1382"/>
      <c r="ET108" s="1382"/>
      <c r="EU108" s="1382"/>
      <c r="EV108" s="1382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2"/>
      <c r="FK108" s="183"/>
      <c r="FL108" s="190"/>
      <c r="FM108" s="182"/>
    </row>
    <row r="109" spans="1:169" ht="3" customHeight="1">
      <c r="A109" s="183"/>
      <c r="B109" s="179"/>
      <c r="D109" s="183"/>
      <c r="E109" s="183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382"/>
      <c r="R109" s="1382"/>
      <c r="S109" s="1382"/>
      <c r="T109" s="1382"/>
      <c r="U109" s="1382"/>
      <c r="V109" s="1382"/>
      <c r="W109" s="1382"/>
      <c r="X109" s="1382"/>
      <c r="Y109" s="1382"/>
      <c r="Z109" s="1382"/>
      <c r="AA109" s="1382"/>
      <c r="AB109" s="1382"/>
      <c r="AC109" s="1382"/>
      <c r="AD109" s="1382"/>
      <c r="AE109" s="1382"/>
      <c r="AF109" s="1382"/>
      <c r="AG109" s="1382"/>
      <c r="AH109" s="1382"/>
      <c r="AI109" s="1382"/>
      <c r="AJ109" s="1382"/>
      <c r="AK109" s="1382"/>
      <c r="AL109" s="1382"/>
      <c r="AM109" s="1382"/>
      <c r="AN109" s="1382"/>
      <c r="AO109" s="1382"/>
      <c r="AP109" s="1382"/>
      <c r="AQ109" s="1382"/>
      <c r="AR109" s="1382"/>
      <c r="AS109" s="1382"/>
      <c r="AT109" s="1382"/>
      <c r="AU109" s="1382"/>
      <c r="AV109" s="1382"/>
      <c r="AW109" s="1382"/>
      <c r="AX109" s="1382"/>
      <c r="AY109" s="1382"/>
      <c r="AZ109" s="1382"/>
      <c r="BA109" s="1382"/>
      <c r="BB109" s="1382"/>
      <c r="BC109" s="1382"/>
      <c r="BD109" s="1382"/>
      <c r="BE109" s="1382"/>
      <c r="BF109" s="1382"/>
      <c r="BG109" s="1382"/>
      <c r="BH109" s="1382"/>
      <c r="BI109" s="1382"/>
      <c r="BJ109" s="1382"/>
      <c r="BK109" s="1382"/>
      <c r="BL109" s="1382"/>
      <c r="BM109" s="1382"/>
      <c r="BN109" s="1382"/>
      <c r="BO109" s="1382"/>
      <c r="BP109" s="1382"/>
      <c r="BQ109" s="1382"/>
      <c r="BR109" s="1382"/>
      <c r="BS109" s="1382"/>
      <c r="BT109" s="1382"/>
      <c r="BU109" s="1382"/>
      <c r="BV109" s="1382"/>
      <c r="BW109" s="1382"/>
      <c r="BX109" s="1382"/>
      <c r="BY109" s="1382"/>
      <c r="BZ109" s="1382"/>
      <c r="CA109" s="1382"/>
      <c r="CB109" s="1382"/>
      <c r="CC109" s="1382"/>
      <c r="CD109" s="1382"/>
      <c r="CE109" s="1382"/>
      <c r="CF109" s="1382"/>
      <c r="CG109" s="1382"/>
      <c r="CH109" s="1382"/>
      <c r="CI109" s="1382"/>
      <c r="CJ109" s="1382"/>
      <c r="CK109" s="1382"/>
      <c r="CL109" s="1382"/>
      <c r="CM109" s="1382"/>
      <c r="CN109" s="1382"/>
      <c r="CO109" s="1382"/>
      <c r="CP109" s="1382"/>
      <c r="CQ109" s="1382"/>
      <c r="CR109" s="1382"/>
      <c r="CS109" s="1382"/>
      <c r="CT109" s="1382"/>
      <c r="CU109" s="1382"/>
      <c r="CV109" s="1382"/>
      <c r="CW109" s="1382"/>
      <c r="CX109" s="1382"/>
      <c r="CY109" s="1382"/>
      <c r="CZ109" s="1382"/>
      <c r="DA109" s="1382"/>
      <c r="DB109" s="1382"/>
      <c r="DC109" s="1382"/>
      <c r="DD109" s="1382"/>
      <c r="DE109" s="1382"/>
      <c r="DF109" s="1382"/>
      <c r="DG109" s="1382"/>
      <c r="DH109" s="1382"/>
      <c r="DI109" s="1382"/>
      <c r="DJ109" s="1382"/>
      <c r="DK109" s="1382"/>
      <c r="DL109" s="1382"/>
      <c r="DM109" s="1382"/>
      <c r="DN109" s="1382"/>
      <c r="DO109" s="1382"/>
      <c r="DP109" s="1382"/>
      <c r="DQ109" s="1382"/>
      <c r="DR109" s="1382"/>
      <c r="DS109" s="1382"/>
      <c r="DT109" s="1382"/>
      <c r="DU109" s="1382"/>
      <c r="DV109" s="1382"/>
      <c r="DW109" s="1382"/>
      <c r="DX109" s="1382"/>
      <c r="DY109" s="1382"/>
      <c r="DZ109" s="1382"/>
      <c r="EA109" s="1382"/>
      <c r="EB109" s="1382"/>
      <c r="EC109" s="1382"/>
      <c r="ED109" s="1382"/>
      <c r="EE109" s="1382"/>
      <c r="EF109" s="1382"/>
      <c r="EG109" s="1382"/>
      <c r="EH109" s="1382"/>
      <c r="EI109" s="1382"/>
      <c r="EJ109" s="1382"/>
      <c r="EK109" s="1382"/>
      <c r="EL109" s="1382"/>
      <c r="EM109" s="1382"/>
      <c r="EN109" s="1382"/>
      <c r="EO109" s="1382"/>
      <c r="EP109" s="1382"/>
      <c r="EQ109" s="1382"/>
      <c r="ER109" s="1382"/>
      <c r="ES109" s="1382"/>
      <c r="ET109" s="1382"/>
      <c r="EU109" s="1382"/>
      <c r="EV109" s="1382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2"/>
      <c r="FK109" s="183"/>
      <c r="FL109" s="180"/>
      <c r="FM109" s="182"/>
    </row>
    <row r="110" spans="1:169" ht="3" customHeight="1">
      <c r="A110" s="183"/>
      <c r="B110" s="191"/>
      <c r="C110" s="190"/>
      <c r="D110" s="183"/>
      <c r="E110" s="183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382"/>
      <c r="R110" s="1382"/>
      <c r="S110" s="1382"/>
      <c r="T110" s="1382"/>
      <c r="U110" s="1382"/>
      <c r="V110" s="1382"/>
      <c r="W110" s="1382"/>
      <c r="X110" s="1382"/>
      <c r="Y110" s="1382"/>
      <c r="Z110" s="1382"/>
      <c r="AA110" s="1382"/>
      <c r="AB110" s="1382"/>
      <c r="AC110" s="1382"/>
      <c r="AD110" s="1382"/>
      <c r="AE110" s="1382"/>
      <c r="AF110" s="1382"/>
      <c r="AG110" s="1382"/>
      <c r="AH110" s="1382"/>
      <c r="AI110" s="1382"/>
      <c r="AJ110" s="1382"/>
      <c r="AK110" s="1382"/>
      <c r="AL110" s="1382"/>
      <c r="AM110" s="1382"/>
      <c r="AN110" s="1382"/>
      <c r="AO110" s="1382"/>
      <c r="AP110" s="1382"/>
      <c r="AQ110" s="1382"/>
      <c r="AR110" s="1382"/>
      <c r="AS110" s="1382"/>
      <c r="AT110" s="1382"/>
      <c r="AU110" s="1382"/>
      <c r="AV110" s="1382"/>
      <c r="AW110" s="1382"/>
      <c r="AX110" s="1382"/>
      <c r="AY110" s="1382"/>
      <c r="AZ110" s="1382"/>
      <c r="BA110" s="1382"/>
      <c r="BB110" s="1382"/>
      <c r="BC110" s="1382"/>
      <c r="BD110" s="1382"/>
      <c r="BE110" s="1382"/>
      <c r="BF110" s="1382"/>
      <c r="BG110" s="1382"/>
      <c r="BH110" s="1382"/>
      <c r="BI110" s="1382"/>
      <c r="BJ110" s="1382"/>
      <c r="BK110" s="1382"/>
      <c r="BL110" s="1382"/>
      <c r="BM110" s="1382"/>
      <c r="BN110" s="1382"/>
      <c r="BO110" s="1382"/>
      <c r="BP110" s="1382"/>
      <c r="BQ110" s="1382"/>
      <c r="BR110" s="1382"/>
      <c r="BS110" s="1382"/>
      <c r="BT110" s="1382"/>
      <c r="BU110" s="1382"/>
      <c r="BV110" s="1382"/>
      <c r="BW110" s="1382"/>
      <c r="BX110" s="1382"/>
      <c r="BY110" s="1382"/>
      <c r="BZ110" s="1382"/>
      <c r="CA110" s="1382"/>
      <c r="CB110" s="1382"/>
      <c r="CC110" s="1382"/>
      <c r="CD110" s="1382"/>
      <c r="CE110" s="1382"/>
      <c r="CF110" s="1382"/>
      <c r="CG110" s="1382"/>
      <c r="CH110" s="1382"/>
      <c r="CI110" s="1382"/>
      <c r="CJ110" s="1382"/>
      <c r="CK110" s="1382"/>
      <c r="CL110" s="1382"/>
      <c r="CM110" s="1382"/>
      <c r="CN110" s="1382"/>
      <c r="CO110" s="1382"/>
      <c r="CP110" s="1382"/>
      <c r="CQ110" s="1382"/>
      <c r="CR110" s="1382"/>
      <c r="CS110" s="1382"/>
      <c r="CT110" s="1382"/>
      <c r="CU110" s="1382"/>
      <c r="CV110" s="1382"/>
      <c r="CW110" s="1382"/>
      <c r="CX110" s="1382"/>
      <c r="CY110" s="1382"/>
      <c r="CZ110" s="1382"/>
      <c r="DA110" s="1382"/>
      <c r="DB110" s="1382"/>
      <c r="DC110" s="1382"/>
      <c r="DD110" s="1382"/>
      <c r="DE110" s="1382"/>
      <c r="DF110" s="1382"/>
      <c r="DG110" s="1382"/>
      <c r="DH110" s="1382"/>
      <c r="DI110" s="1382"/>
      <c r="DJ110" s="1382"/>
      <c r="DK110" s="1382"/>
      <c r="DL110" s="1382"/>
      <c r="DM110" s="1382"/>
      <c r="DN110" s="1382"/>
      <c r="DO110" s="1382"/>
      <c r="DP110" s="1382"/>
      <c r="DQ110" s="1382"/>
      <c r="DR110" s="1382"/>
      <c r="DS110" s="1382"/>
      <c r="DT110" s="1382"/>
      <c r="DU110" s="1382"/>
      <c r="DV110" s="1382"/>
      <c r="DW110" s="1382"/>
      <c r="DX110" s="1382"/>
      <c r="DY110" s="1382"/>
      <c r="DZ110" s="1382"/>
      <c r="EA110" s="1382"/>
      <c r="EB110" s="1382"/>
      <c r="EC110" s="1382"/>
      <c r="ED110" s="1382"/>
      <c r="EE110" s="1382"/>
      <c r="EF110" s="1382"/>
      <c r="EG110" s="1382"/>
      <c r="EH110" s="1382"/>
      <c r="EI110" s="1382"/>
      <c r="EJ110" s="1382"/>
      <c r="EK110" s="1382"/>
      <c r="EL110" s="1382"/>
      <c r="EM110" s="1382"/>
      <c r="EN110" s="1382"/>
      <c r="EO110" s="1382"/>
      <c r="EP110" s="1382"/>
      <c r="EQ110" s="1382"/>
      <c r="ER110" s="1382"/>
      <c r="ES110" s="1382"/>
      <c r="ET110" s="1382"/>
      <c r="EU110" s="1382"/>
      <c r="EV110" s="1382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2"/>
      <c r="FK110" s="190"/>
      <c r="FL110" s="182"/>
      <c r="FM110" s="182"/>
    </row>
    <row r="111" spans="1:169" ht="3" customHeight="1">
      <c r="A111" s="183"/>
      <c r="B111" s="183"/>
      <c r="C111" s="179"/>
      <c r="E111" s="183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382"/>
      <c r="R111" s="1382"/>
      <c r="S111" s="1382"/>
      <c r="T111" s="1382"/>
      <c r="U111" s="1382"/>
      <c r="V111" s="1382"/>
      <c r="W111" s="1382"/>
      <c r="X111" s="1382"/>
      <c r="Y111" s="1382"/>
      <c r="Z111" s="1382"/>
      <c r="AA111" s="1382"/>
      <c r="AB111" s="1382"/>
      <c r="AC111" s="1382"/>
      <c r="AD111" s="1382"/>
      <c r="AE111" s="1382"/>
      <c r="AF111" s="1382"/>
      <c r="AG111" s="1382"/>
      <c r="AH111" s="1382"/>
      <c r="AI111" s="1382"/>
      <c r="AJ111" s="1382"/>
      <c r="AK111" s="1382"/>
      <c r="AL111" s="1382"/>
      <c r="AM111" s="1382"/>
      <c r="AN111" s="1382"/>
      <c r="AO111" s="1382"/>
      <c r="AP111" s="1382"/>
      <c r="AQ111" s="1382"/>
      <c r="AR111" s="1382"/>
      <c r="AS111" s="1382"/>
      <c r="AT111" s="1382"/>
      <c r="AU111" s="1382"/>
      <c r="AV111" s="1382"/>
      <c r="AW111" s="1382"/>
      <c r="AX111" s="1382"/>
      <c r="AY111" s="1382"/>
      <c r="AZ111" s="1382"/>
      <c r="BA111" s="1382"/>
      <c r="BB111" s="1382"/>
      <c r="BC111" s="1382"/>
      <c r="BD111" s="1382"/>
      <c r="BE111" s="1382"/>
      <c r="BF111" s="1382"/>
      <c r="BG111" s="1382"/>
      <c r="BH111" s="1382"/>
      <c r="BI111" s="1382"/>
      <c r="BJ111" s="1382"/>
      <c r="BK111" s="1382"/>
      <c r="BL111" s="1382"/>
      <c r="BM111" s="1382"/>
      <c r="BN111" s="1382"/>
      <c r="BO111" s="1382"/>
      <c r="BP111" s="1382"/>
      <c r="BQ111" s="1382"/>
      <c r="BR111" s="1382"/>
      <c r="BS111" s="1382"/>
      <c r="BT111" s="1382"/>
      <c r="BU111" s="1382"/>
      <c r="BV111" s="1382"/>
      <c r="BW111" s="1382"/>
      <c r="BX111" s="1382"/>
      <c r="BY111" s="1382"/>
      <c r="BZ111" s="1382"/>
      <c r="CA111" s="1382"/>
      <c r="CB111" s="1382"/>
      <c r="CC111" s="1382"/>
      <c r="CD111" s="1382"/>
      <c r="CE111" s="1382"/>
      <c r="CF111" s="1382"/>
      <c r="CG111" s="1382"/>
      <c r="CH111" s="1382"/>
      <c r="CI111" s="1382"/>
      <c r="CJ111" s="1382"/>
      <c r="CK111" s="1382"/>
      <c r="CL111" s="1382"/>
      <c r="CM111" s="1382"/>
      <c r="CN111" s="1382"/>
      <c r="CO111" s="1382"/>
      <c r="CP111" s="1382"/>
      <c r="CQ111" s="1382"/>
      <c r="CR111" s="1382"/>
      <c r="CS111" s="1382"/>
      <c r="CT111" s="1382"/>
      <c r="CU111" s="1382"/>
      <c r="CV111" s="1382"/>
      <c r="CW111" s="1382"/>
      <c r="CX111" s="1382"/>
      <c r="CY111" s="1382"/>
      <c r="CZ111" s="1382"/>
      <c r="DA111" s="1382"/>
      <c r="DB111" s="1382"/>
      <c r="DC111" s="1382"/>
      <c r="DD111" s="1382"/>
      <c r="DE111" s="1382"/>
      <c r="DF111" s="1382"/>
      <c r="DG111" s="1382"/>
      <c r="DH111" s="1382"/>
      <c r="DI111" s="1382"/>
      <c r="DJ111" s="1382"/>
      <c r="DK111" s="1382"/>
      <c r="DL111" s="1382"/>
      <c r="DM111" s="1382"/>
      <c r="DN111" s="1382"/>
      <c r="DO111" s="1382"/>
      <c r="DP111" s="1382"/>
      <c r="DQ111" s="1382"/>
      <c r="DR111" s="1382"/>
      <c r="DS111" s="1382"/>
      <c r="DT111" s="1382"/>
      <c r="DU111" s="1382"/>
      <c r="DV111" s="1382"/>
      <c r="DW111" s="1382"/>
      <c r="DX111" s="1382"/>
      <c r="DY111" s="1382"/>
      <c r="DZ111" s="1382"/>
      <c r="EA111" s="1382"/>
      <c r="EB111" s="1382"/>
      <c r="EC111" s="1382"/>
      <c r="ED111" s="1382"/>
      <c r="EE111" s="1382"/>
      <c r="EF111" s="1382"/>
      <c r="EG111" s="1382"/>
      <c r="EH111" s="1382"/>
      <c r="EI111" s="1382"/>
      <c r="EJ111" s="1382"/>
      <c r="EK111" s="1382"/>
      <c r="EL111" s="1382"/>
      <c r="EM111" s="1382"/>
      <c r="EN111" s="1382"/>
      <c r="EO111" s="1382"/>
      <c r="EP111" s="1382"/>
      <c r="EQ111" s="1382"/>
      <c r="ER111" s="1382"/>
      <c r="ES111" s="1382"/>
      <c r="ET111" s="1382"/>
      <c r="EU111" s="1382"/>
      <c r="EV111" s="1382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2"/>
      <c r="FK111" s="180"/>
      <c r="FL111" s="182"/>
      <c r="FM111" s="182"/>
    </row>
    <row r="112" spans="1:169" ht="3" customHeight="1">
      <c r="A112" s="183"/>
      <c r="B112" s="190"/>
      <c r="C112" s="183"/>
      <c r="D112" s="183"/>
      <c r="E112" s="183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382"/>
      <c r="R112" s="1382"/>
      <c r="S112" s="1382"/>
      <c r="T112" s="1382"/>
      <c r="U112" s="1382"/>
      <c r="V112" s="1382"/>
      <c r="W112" s="1382"/>
      <c r="X112" s="1382"/>
      <c r="Y112" s="1382"/>
      <c r="Z112" s="1382"/>
      <c r="AA112" s="1382"/>
      <c r="AB112" s="1382"/>
      <c r="AC112" s="1382"/>
      <c r="AD112" s="1382"/>
      <c r="AE112" s="1382"/>
      <c r="AF112" s="1382"/>
      <c r="AG112" s="1382"/>
      <c r="AH112" s="1382"/>
      <c r="AI112" s="1382"/>
      <c r="AJ112" s="1382"/>
      <c r="AK112" s="1382"/>
      <c r="AL112" s="1382"/>
      <c r="AM112" s="1382"/>
      <c r="AN112" s="1382"/>
      <c r="AO112" s="1382"/>
      <c r="AP112" s="1382"/>
      <c r="AQ112" s="1382"/>
      <c r="AR112" s="1382"/>
      <c r="AS112" s="1382"/>
      <c r="AT112" s="1382"/>
      <c r="AU112" s="1382"/>
      <c r="AV112" s="1382"/>
      <c r="AW112" s="1382"/>
      <c r="AX112" s="1382"/>
      <c r="AY112" s="1382"/>
      <c r="AZ112" s="1382"/>
      <c r="BA112" s="1382"/>
      <c r="BB112" s="1382"/>
      <c r="BC112" s="1382"/>
      <c r="BD112" s="1382"/>
      <c r="BE112" s="1382"/>
      <c r="BF112" s="1382"/>
      <c r="BG112" s="1382"/>
      <c r="BH112" s="1382"/>
      <c r="BI112" s="1382"/>
      <c r="BJ112" s="1382"/>
      <c r="BK112" s="1382"/>
      <c r="BL112" s="1382"/>
      <c r="BM112" s="1382"/>
      <c r="BN112" s="1382"/>
      <c r="BO112" s="1382"/>
      <c r="BP112" s="1382"/>
      <c r="BQ112" s="1382"/>
      <c r="BR112" s="1382"/>
      <c r="BS112" s="1382"/>
      <c r="BT112" s="1382"/>
      <c r="BU112" s="1382"/>
      <c r="BV112" s="1382"/>
      <c r="BW112" s="1382"/>
      <c r="BX112" s="1382"/>
      <c r="BY112" s="1382"/>
      <c r="BZ112" s="1382"/>
      <c r="CA112" s="1382"/>
      <c r="CB112" s="1382"/>
      <c r="CC112" s="1382"/>
      <c r="CD112" s="1382"/>
      <c r="CE112" s="1382"/>
      <c r="CF112" s="1382"/>
      <c r="CG112" s="1382"/>
      <c r="CH112" s="1382"/>
      <c r="CI112" s="1382"/>
      <c r="CJ112" s="1382"/>
      <c r="CK112" s="1382"/>
      <c r="CL112" s="1382"/>
      <c r="CM112" s="1382"/>
      <c r="CN112" s="1382"/>
      <c r="CO112" s="1382"/>
      <c r="CP112" s="1382"/>
      <c r="CQ112" s="1382"/>
      <c r="CR112" s="1382"/>
      <c r="CS112" s="1382"/>
      <c r="CT112" s="1382"/>
      <c r="CU112" s="1382"/>
      <c r="CV112" s="1382"/>
      <c r="CW112" s="1382"/>
      <c r="CX112" s="1382"/>
      <c r="CY112" s="1382"/>
      <c r="CZ112" s="1382"/>
      <c r="DA112" s="1382"/>
      <c r="DB112" s="1382"/>
      <c r="DC112" s="1382"/>
      <c r="DD112" s="1382"/>
      <c r="DE112" s="1382"/>
      <c r="DF112" s="1382"/>
      <c r="DG112" s="1382"/>
      <c r="DH112" s="1382"/>
      <c r="DI112" s="1382"/>
      <c r="DJ112" s="1382"/>
      <c r="DK112" s="1382"/>
      <c r="DL112" s="1382"/>
      <c r="DM112" s="1382"/>
      <c r="DN112" s="1382"/>
      <c r="DO112" s="1382"/>
      <c r="DP112" s="1382"/>
      <c r="DQ112" s="1382"/>
      <c r="DR112" s="1382"/>
      <c r="DS112" s="1382"/>
      <c r="DT112" s="1382"/>
      <c r="DU112" s="1382"/>
      <c r="DV112" s="1382"/>
      <c r="DW112" s="1382"/>
      <c r="DX112" s="1382"/>
      <c r="DY112" s="1382"/>
      <c r="DZ112" s="1382"/>
      <c r="EA112" s="1382"/>
      <c r="EB112" s="1382"/>
      <c r="EC112" s="1382"/>
      <c r="ED112" s="1382"/>
      <c r="EE112" s="1382"/>
      <c r="EF112" s="1382"/>
      <c r="EG112" s="1382"/>
      <c r="EH112" s="1382"/>
      <c r="EI112" s="1382"/>
      <c r="EJ112" s="1382"/>
      <c r="EK112" s="1382"/>
      <c r="EL112" s="1382"/>
      <c r="EM112" s="1382"/>
      <c r="EN112" s="1382"/>
      <c r="EO112" s="1382"/>
      <c r="EP112" s="1382"/>
      <c r="EQ112" s="1382"/>
      <c r="ER112" s="1382"/>
      <c r="ES112" s="1382"/>
      <c r="ET112" s="1382"/>
      <c r="EU112" s="1382"/>
      <c r="EV112" s="1382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2"/>
      <c r="FK112" s="183"/>
      <c r="FL112" s="190"/>
      <c r="FM112" s="182"/>
    </row>
    <row r="113" spans="1:169" ht="3" customHeight="1">
      <c r="A113" s="183"/>
      <c r="B113" s="179"/>
      <c r="D113" s="183"/>
      <c r="E113" s="183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2"/>
      <c r="FK113" s="183"/>
      <c r="FL113" s="180"/>
      <c r="FM113" s="182"/>
    </row>
    <row r="114" spans="1:169" ht="3" customHeight="1">
      <c r="A114" s="183"/>
      <c r="B114" s="191"/>
      <c r="C114" s="190"/>
      <c r="D114" s="183"/>
      <c r="E114" s="183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2"/>
      <c r="FK114" s="190"/>
      <c r="FL114" s="182"/>
      <c r="FM114" s="182"/>
    </row>
    <row r="115" spans="1:169" ht="3" customHeight="1">
      <c r="A115" s="183"/>
      <c r="B115" s="183"/>
      <c r="C115" s="179"/>
      <c r="E115" s="183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2"/>
      <c r="FK115" s="180"/>
      <c r="FL115" s="182"/>
      <c r="FM115" s="182"/>
    </row>
    <row r="116" spans="1:169" ht="3" customHeight="1">
      <c r="A116" s="183"/>
      <c r="B116" s="181"/>
      <c r="C116" s="191"/>
      <c r="D116" s="183"/>
      <c r="E116" s="183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383"/>
      <c r="AN116" s="1383"/>
      <c r="AO116" s="1383"/>
      <c r="AP116" s="1383"/>
      <c r="AQ116" s="1383"/>
      <c r="AR116" s="1383"/>
      <c r="AS116" s="1383"/>
      <c r="AT116" s="1383"/>
      <c r="AU116" s="1383"/>
      <c r="AV116" s="1383"/>
      <c r="AW116" s="1383"/>
      <c r="AX116" s="1383"/>
      <c r="AY116" s="1383"/>
      <c r="AZ116" s="1383"/>
      <c r="BA116" s="1383"/>
      <c r="BB116" s="1383"/>
      <c r="BC116" s="1383"/>
      <c r="BD116" s="1383"/>
      <c r="BE116" s="1383"/>
      <c r="BF116" s="1383"/>
      <c r="BG116" s="1383"/>
      <c r="BH116" s="1383"/>
      <c r="BI116" s="1383"/>
      <c r="BJ116" s="1383"/>
      <c r="BK116" s="1383"/>
      <c r="BL116" s="1383"/>
      <c r="BM116" s="1383"/>
      <c r="BN116" s="1383"/>
      <c r="BO116" s="1383"/>
      <c r="BP116" s="1383"/>
      <c r="BQ116" s="1383"/>
      <c r="BR116" s="1383"/>
      <c r="BS116" s="1383"/>
      <c r="BT116" s="1383"/>
      <c r="BU116" s="1383"/>
      <c r="BV116" s="1383"/>
      <c r="BW116" s="1383"/>
      <c r="BX116" s="1383"/>
      <c r="BY116" s="1383"/>
      <c r="BZ116" s="1383"/>
      <c r="CA116" s="1383"/>
      <c r="CB116" s="1383"/>
      <c r="CC116" s="1383"/>
      <c r="CD116" s="1383"/>
      <c r="CE116" s="1383"/>
      <c r="CF116" s="1383"/>
      <c r="CG116" s="1383"/>
      <c r="CH116" s="1383"/>
      <c r="CI116" s="1383"/>
      <c r="CJ116" s="1383"/>
      <c r="CK116" s="1383"/>
      <c r="CL116" s="1383"/>
      <c r="CM116" s="1383"/>
      <c r="CN116" s="1383"/>
      <c r="CO116" s="1383"/>
      <c r="CP116" s="1383"/>
      <c r="CQ116" s="1383"/>
      <c r="CR116" s="1383"/>
      <c r="CS116" s="1383"/>
      <c r="CT116" s="1383"/>
      <c r="CU116" s="1383"/>
      <c r="CV116" s="1383"/>
      <c r="CW116" s="1383"/>
      <c r="CX116" s="1383"/>
      <c r="CY116" s="1383"/>
      <c r="CZ116" s="1383"/>
      <c r="DA116" s="1383"/>
      <c r="DB116" s="1383"/>
      <c r="DC116" s="1383"/>
      <c r="DD116" s="1383"/>
      <c r="DE116" s="1383"/>
      <c r="DF116" s="1383"/>
      <c r="DG116" s="1383"/>
      <c r="DH116" s="1383"/>
      <c r="DI116" s="1383"/>
      <c r="DJ116" s="1383"/>
      <c r="DK116" s="1383"/>
      <c r="DL116" s="1383"/>
      <c r="DM116" s="1383"/>
      <c r="DN116" s="1383"/>
      <c r="DO116" s="1383"/>
      <c r="DP116" s="1383"/>
      <c r="DQ116" s="1383"/>
      <c r="DR116" s="1383"/>
      <c r="DS116" s="1383"/>
      <c r="DT116" s="1383"/>
      <c r="DU116" s="1383"/>
      <c r="DV116" s="1383"/>
      <c r="DW116" s="1383"/>
      <c r="DX116" s="1383"/>
      <c r="DY116" s="186"/>
      <c r="DZ116" s="186"/>
      <c r="EA116" s="186"/>
      <c r="EB116" s="186"/>
      <c r="EC116" s="186"/>
      <c r="ED116" s="186"/>
      <c r="EE116" s="186"/>
      <c r="EF116" s="186"/>
      <c r="EG116" s="186"/>
      <c r="EH116" s="186"/>
      <c r="EI116" s="186"/>
      <c r="EJ116" s="186"/>
      <c r="EK116" s="186"/>
      <c r="EL116" s="186"/>
      <c r="EM116" s="186"/>
      <c r="EN116" s="186"/>
      <c r="EO116" s="186"/>
      <c r="EP116" s="186"/>
      <c r="EQ116" s="186"/>
      <c r="ER116" s="186"/>
      <c r="ES116" s="186"/>
      <c r="ET116" s="186"/>
      <c r="EU116" s="186"/>
      <c r="EV116" s="186"/>
      <c r="EW116" s="186"/>
      <c r="EX116" s="186"/>
      <c r="EY116" s="186"/>
      <c r="EZ116" s="186"/>
      <c r="FA116" s="186"/>
      <c r="FB116" s="186"/>
      <c r="FC116" s="186"/>
      <c r="FD116" s="186"/>
      <c r="FE116" s="186"/>
      <c r="FF116" s="186"/>
      <c r="FG116" s="186"/>
      <c r="FH116" s="186"/>
      <c r="FI116" s="182"/>
      <c r="FK116" s="183"/>
      <c r="FL116" s="190"/>
      <c r="FM116" s="182"/>
    </row>
    <row r="117" spans="1:169" ht="3" customHeight="1">
      <c r="A117" s="183"/>
      <c r="B117" s="179"/>
      <c r="D117" s="183"/>
      <c r="E117" s="183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383"/>
      <c r="AN117" s="1383"/>
      <c r="AO117" s="1383"/>
      <c r="AP117" s="1383"/>
      <c r="AQ117" s="1383"/>
      <c r="AR117" s="1383"/>
      <c r="AS117" s="1383"/>
      <c r="AT117" s="1383"/>
      <c r="AU117" s="1383"/>
      <c r="AV117" s="1383"/>
      <c r="AW117" s="1383"/>
      <c r="AX117" s="1383"/>
      <c r="AY117" s="1383"/>
      <c r="AZ117" s="1383"/>
      <c r="BA117" s="1383"/>
      <c r="BB117" s="1383"/>
      <c r="BC117" s="1383"/>
      <c r="BD117" s="1383"/>
      <c r="BE117" s="1383"/>
      <c r="BF117" s="1383"/>
      <c r="BG117" s="1383"/>
      <c r="BH117" s="1383"/>
      <c r="BI117" s="1383"/>
      <c r="BJ117" s="1383"/>
      <c r="BK117" s="1383"/>
      <c r="BL117" s="1383"/>
      <c r="BM117" s="1383"/>
      <c r="BN117" s="1383"/>
      <c r="BO117" s="1383"/>
      <c r="BP117" s="1383"/>
      <c r="BQ117" s="1383"/>
      <c r="BR117" s="1383"/>
      <c r="BS117" s="1383"/>
      <c r="BT117" s="1383"/>
      <c r="BU117" s="1383"/>
      <c r="BV117" s="1383"/>
      <c r="BW117" s="1383"/>
      <c r="BX117" s="1383"/>
      <c r="BY117" s="1383"/>
      <c r="BZ117" s="1383"/>
      <c r="CA117" s="1383"/>
      <c r="CB117" s="1383"/>
      <c r="CC117" s="1383"/>
      <c r="CD117" s="1383"/>
      <c r="CE117" s="1383"/>
      <c r="CF117" s="1383"/>
      <c r="CG117" s="1383"/>
      <c r="CH117" s="1383"/>
      <c r="CI117" s="1383"/>
      <c r="CJ117" s="1383"/>
      <c r="CK117" s="1383"/>
      <c r="CL117" s="1383"/>
      <c r="CM117" s="1383"/>
      <c r="CN117" s="1383"/>
      <c r="CO117" s="1383"/>
      <c r="CP117" s="1383"/>
      <c r="CQ117" s="1383"/>
      <c r="CR117" s="1383"/>
      <c r="CS117" s="1383"/>
      <c r="CT117" s="1383"/>
      <c r="CU117" s="1383"/>
      <c r="CV117" s="1383"/>
      <c r="CW117" s="1383"/>
      <c r="CX117" s="1383"/>
      <c r="CY117" s="1383"/>
      <c r="CZ117" s="1383"/>
      <c r="DA117" s="1383"/>
      <c r="DB117" s="1383"/>
      <c r="DC117" s="1383"/>
      <c r="DD117" s="1383"/>
      <c r="DE117" s="1383"/>
      <c r="DF117" s="1383"/>
      <c r="DG117" s="1383"/>
      <c r="DH117" s="1383"/>
      <c r="DI117" s="1383"/>
      <c r="DJ117" s="1383"/>
      <c r="DK117" s="1383"/>
      <c r="DL117" s="1383"/>
      <c r="DM117" s="1383"/>
      <c r="DN117" s="1383"/>
      <c r="DO117" s="1383"/>
      <c r="DP117" s="1383"/>
      <c r="DQ117" s="1383"/>
      <c r="DR117" s="1383"/>
      <c r="DS117" s="1383"/>
      <c r="DT117" s="1383"/>
      <c r="DU117" s="1383"/>
      <c r="DV117" s="1383"/>
      <c r="DW117" s="1383"/>
      <c r="DX117" s="1383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2"/>
      <c r="FK117" s="183"/>
      <c r="FL117" s="180"/>
      <c r="FM117" s="182"/>
    </row>
    <row r="118" spans="1:169" ht="3" customHeight="1">
      <c r="A118" s="183"/>
      <c r="B118" s="191"/>
      <c r="C118" s="190"/>
      <c r="D118" s="183"/>
      <c r="E118" s="183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383"/>
      <c r="AN118" s="1383"/>
      <c r="AO118" s="1383"/>
      <c r="AP118" s="1383"/>
      <c r="AQ118" s="1383"/>
      <c r="AR118" s="1383"/>
      <c r="AS118" s="1383"/>
      <c r="AT118" s="1383"/>
      <c r="AU118" s="1383"/>
      <c r="AV118" s="1383"/>
      <c r="AW118" s="1383"/>
      <c r="AX118" s="1383"/>
      <c r="AY118" s="1383"/>
      <c r="AZ118" s="1383"/>
      <c r="BA118" s="1383"/>
      <c r="BB118" s="1383"/>
      <c r="BC118" s="1383"/>
      <c r="BD118" s="1383"/>
      <c r="BE118" s="1383"/>
      <c r="BF118" s="1383"/>
      <c r="BG118" s="1383"/>
      <c r="BH118" s="1383"/>
      <c r="BI118" s="1383"/>
      <c r="BJ118" s="1383"/>
      <c r="BK118" s="1383"/>
      <c r="BL118" s="1383"/>
      <c r="BM118" s="1383"/>
      <c r="BN118" s="1383"/>
      <c r="BO118" s="1383"/>
      <c r="BP118" s="1383"/>
      <c r="BQ118" s="1383"/>
      <c r="BR118" s="1383"/>
      <c r="BS118" s="1383"/>
      <c r="BT118" s="1383"/>
      <c r="BU118" s="1383"/>
      <c r="BV118" s="1383"/>
      <c r="BW118" s="1383"/>
      <c r="BX118" s="1383"/>
      <c r="BY118" s="1383"/>
      <c r="BZ118" s="1383"/>
      <c r="CA118" s="1383"/>
      <c r="CB118" s="1383"/>
      <c r="CC118" s="1383"/>
      <c r="CD118" s="1383"/>
      <c r="CE118" s="1383"/>
      <c r="CF118" s="1383"/>
      <c r="CG118" s="1383"/>
      <c r="CH118" s="1383"/>
      <c r="CI118" s="1383"/>
      <c r="CJ118" s="1383"/>
      <c r="CK118" s="1383"/>
      <c r="CL118" s="1383"/>
      <c r="CM118" s="1383"/>
      <c r="CN118" s="1383"/>
      <c r="CO118" s="1383"/>
      <c r="CP118" s="1383"/>
      <c r="CQ118" s="1383"/>
      <c r="CR118" s="1383"/>
      <c r="CS118" s="1383"/>
      <c r="CT118" s="1383"/>
      <c r="CU118" s="1383"/>
      <c r="CV118" s="1383"/>
      <c r="CW118" s="1383"/>
      <c r="CX118" s="1383"/>
      <c r="CY118" s="1383"/>
      <c r="CZ118" s="1383"/>
      <c r="DA118" s="1383"/>
      <c r="DB118" s="1383"/>
      <c r="DC118" s="1383"/>
      <c r="DD118" s="1383"/>
      <c r="DE118" s="1383"/>
      <c r="DF118" s="1383"/>
      <c r="DG118" s="1383"/>
      <c r="DH118" s="1383"/>
      <c r="DI118" s="1383"/>
      <c r="DJ118" s="1383"/>
      <c r="DK118" s="1383"/>
      <c r="DL118" s="1383"/>
      <c r="DM118" s="1383"/>
      <c r="DN118" s="1383"/>
      <c r="DO118" s="1383"/>
      <c r="DP118" s="1383"/>
      <c r="DQ118" s="1383"/>
      <c r="DR118" s="1383"/>
      <c r="DS118" s="1383"/>
      <c r="DT118" s="1383"/>
      <c r="DU118" s="1383"/>
      <c r="DV118" s="1383"/>
      <c r="DW118" s="1383"/>
      <c r="DX118" s="1383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2"/>
      <c r="FK118" s="190"/>
      <c r="FL118" s="182"/>
      <c r="FM118" s="182"/>
    </row>
    <row r="119" spans="1:169" ht="3" customHeight="1">
      <c r="A119" s="183"/>
      <c r="B119" s="183"/>
      <c r="C119" s="179"/>
      <c r="E119" s="183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383"/>
      <c r="AN119" s="1383"/>
      <c r="AO119" s="1383"/>
      <c r="AP119" s="1383"/>
      <c r="AQ119" s="1383"/>
      <c r="AR119" s="1383"/>
      <c r="AS119" s="1383"/>
      <c r="AT119" s="1383"/>
      <c r="AU119" s="1383"/>
      <c r="AV119" s="1383"/>
      <c r="AW119" s="1383"/>
      <c r="AX119" s="1383"/>
      <c r="AY119" s="1383"/>
      <c r="AZ119" s="1383"/>
      <c r="BA119" s="1383"/>
      <c r="BB119" s="1383"/>
      <c r="BC119" s="1383"/>
      <c r="BD119" s="1383"/>
      <c r="BE119" s="1383"/>
      <c r="BF119" s="1383"/>
      <c r="BG119" s="1383"/>
      <c r="BH119" s="1383"/>
      <c r="BI119" s="1383"/>
      <c r="BJ119" s="1383"/>
      <c r="BK119" s="1383"/>
      <c r="BL119" s="1383"/>
      <c r="BM119" s="1383"/>
      <c r="BN119" s="1383"/>
      <c r="BO119" s="1383"/>
      <c r="BP119" s="1383"/>
      <c r="BQ119" s="1383"/>
      <c r="BR119" s="1383"/>
      <c r="BS119" s="1383"/>
      <c r="BT119" s="1383"/>
      <c r="BU119" s="1383"/>
      <c r="BV119" s="1383"/>
      <c r="BW119" s="1383"/>
      <c r="BX119" s="1383"/>
      <c r="BY119" s="1383"/>
      <c r="BZ119" s="1383"/>
      <c r="CA119" s="1383"/>
      <c r="CB119" s="1383"/>
      <c r="CC119" s="1383"/>
      <c r="CD119" s="1383"/>
      <c r="CE119" s="1383"/>
      <c r="CF119" s="1383"/>
      <c r="CG119" s="1383"/>
      <c r="CH119" s="1383"/>
      <c r="CI119" s="1383"/>
      <c r="CJ119" s="1383"/>
      <c r="CK119" s="1383"/>
      <c r="CL119" s="1383"/>
      <c r="CM119" s="1383"/>
      <c r="CN119" s="1383"/>
      <c r="CO119" s="1383"/>
      <c r="CP119" s="1383"/>
      <c r="CQ119" s="1383"/>
      <c r="CR119" s="1383"/>
      <c r="CS119" s="1383"/>
      <c r="CT119" s="1383"/>
      <c r="CU119" s="1383"/>
      <c r="CV119" s="1383"/>
      <c r="CW119" s="1383"/>
      <c r="CX119" s="1383"/>
      <c r="CY119" s="1383"/>
      <c r="CZ119" s="1383"/>
      <c r="DA119" s="1383"/>
      <c r="DB119" s="1383"/>
      <c r="DC119" s="1383"/>
      <c r="DD119" s="1383"/>
      <c r="DE119" s="1383"/>
      <c r="DF119" s="1383"/>
      <c r="DG119" s="1383"/>
      <c r="DH119" s="1383"/>
      <c r="DI119" s="1383"/>
      <c r="DJ119" s="1383"/>
      <c r="DK119" s="1383"/>
      <c r="DL119" s="1383"/>
      <c r="DM119" s="1383"/>
      <c r="DN119" s="1383"/>
      <c r="DO119" s="1383"/>
      <c r="DP119" s="1383"/>
      <c r="DQ119" s="1383"/>
      <c r="DR119" s="1383"/>
      <c r="DS119" s="1383"/>
      <c r="DT119" s="1383"/>
      <c r="DU119" s="1383"/>
      <c r="DV119" s="1383"/>
      <c r="DW119" s="1383"/>
      <c r="DX119" s="1383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2"/>
      <c r="FK119" s="180"/>
      <c r="FL119" s="182"/>
      <c r="FM119" s="182"/>
    </row>
    <row r="120" spans="1:169" ht="3" customHeight="1">
      <c r="A120" s="183"/>
      <c r="B120" s="190"/>
      <c r="C120" s="183"/>
      <c r="D120" s="183"/>
      <c r="E120" s="183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383"/>
      <c r="AN120" s="1383"/>
      <c r="AO120" s="1383"/>
      <c r="AP120" s="1383"/>
      <c r="AQ120" s="1383"/>
      <c r="AR120" s="1383"/>
      <c r="AS120" s="1383"/>
      <c r="AT120" s="1383"/>
      <c r="AU120" s="1383"/>
      <c r="AV120" s="1383"/>
      <c r="AW120" s="1383"/>
      <c r="AX120" s="1383"/>
      <c r="AY120" s="1383"/>
      <c r="AZ120" s="1383"/>
      <c r="BA120" s="1383"/>
      <c r="BB120" s="1383"/>
      <c r="BC120" s="1383"/>
      <c r="BD120" s="1383"/>
      <c r="BE120" s="1383"/>
      <c r="BF120" s="1383"/>
      <c r="BG120" s="1383"/>
      <c r="BH120" s="1383"/>
      <c r="BI120" s="1383"/>
      <c r="BJ120" s="1383"/>
      <c r="BK120" s="1383"/>
      <c r="BL120" s="1383"/>
      <c r="BM120" s="1383"/>
      <c r="BN120" s="1383"/>
      <c r="BO120" s="1383"/>
      <c r="BP120" s="1383"/>
      <c r="BQ120" s="1383"/>
      <c r="BR120" s="1383"/>
      <c r="BS120" s="1383"/>
      <c r="BT120" s="1383"/>
      <c r="BU120" s="1383"/>
      <c r="BV120" s="1383"/>
      <c r="BW120" s="1383"/>
      <c r="BX120" s="1383"/>
      <c r="BY120" s="1383"/>
      <c r="BZ120" s="1383"/>
      <c r="CA120" s="1383"/>
      <c r="CB120" s="1383"/>
      <c r="CC120" s="1383"/>
      <c r="CD120" s="1383"/>
      <c r="CE120" s="1383"/>
      <c r="CF120" s="1383"/>
      <c r="CG120" s="1383"/>
      <c r="CH120" s="1383"/>
      <c r="CI120" s="1383"/>
      <c r="CJ120" s="1383"/>
      <c r="CK120" s="1383"/>
      <c r="CL120" s="1383"/>
      <c r="CM120" s="1383"/>
      <c r="CN120" s="1383"/>
      <c r="CO120" s="1383"/>
      <c r="CP120" s="1383"/>
      <c r="CQ120" s="1383"/>
      <c r="CR120" s="1383"/>
      <c r="CS120" s="1383"/>
      <c r="CT120" s="1383"/>
      <c r="CU120" s="1383"/>
      <c r="CV120" s="1383"/>
      <c r="CW120" s="1383"/>
      <c r="CX120" s="1383"/>
      <c r="CY120" s="1383"/>
      <c r="CZ120" s="1383"/>
      <c r="DA120" s="1383"/>
      <c r="DB120" s="1383"/>
      <c r="DC120" s="1383"/>
      <c r="DD120" s="1383"/>
      <c r="DE120" s="1383"/>
      <c r="DF120" s="1383"/>
      <c r="DG120" s="1383"/>
      <c r="DH120" s="1383"/>
      <c r="DI120" s="1383"/>
      <c r="DJ120" s="1383"/>
      <c r="DK120" s="1383"/>
      <c r="DL120" s="1383"/>
      <c r="DM120" s="1383"/>
      <c r="DN120" s="1383"/>
      <c r="DO120" s="1383"/>
      <c r="DP120" s="1383"/>
      <c r="DQ120" s="1383"/>
      <c r="DR120" s="1383"/>
      <c r="DS120" s="1383"/>
      <c r="DT120" s="1383"/>
      <c r="DU120" s="1383"/>
      <c r="DV120" s="1383"/>
      <c r="DW120" s="1383"/>
      <c r="DX120" s="1383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2"/>
      <c r="FK120" s="183"/>
      <c r="FL120" s="190"/>
      <c r="FM120" s="182"/>
    </row>
    <row r="121" spans="1:169" ht="3" customHeight="1">
      <c r="A121" s="183"/>
      <c r="B121" s="179"/>
      <c r="D121" s="183"/>
      <c r="E121" s="183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383"/>
      <c r="AN121" s="1383"/>
      <c r="AO121" s="1383"/>
      <c r="AP121" s="1383"/>
      <c r="AQ121" s="1383"/>
      <c r="AR121" s="1383"/>
      <c r="AS121" s="1383"/>
      <c r="AT121" s="1383"/>
      <c r="AU121" s="1383"/>
      <c r="AV121" s="1383"/>
      <c r="AW121" s="1383"/>
      <c r="AX121" s="1383"/>
      <c r="AY121" s="1383"/>
      <c r="AZ121" s="1383"/>
      <c r="BA121" s="1383"/>
      <c r="BB121" s="1383"/>
      <c r="BC121" s="1383"/>
      <c r="BD121" s="1383"/>
      <c r="BE121" s="1383"/>
      <c r="BF121" s="1383"/>
      <c r="BG121" s="1383"/>
      <c r="BH121" s="1383"/>
      <c r="BI121" s="1383"/>
      <c r="BJ121" s="1383"/>
      <c r="BK121" s="1383"/>
      <c r="BL121" s="1383"/>
      <c r="BM121" s="1383"/>
      <c r="BN121" s="1383"/>
      <c r="BO121" s="1383"/>
      <c r="BP121" s="1383"/>
      <c r="BQ121" s="1383"/>
      <c r="BR121" s="1383"/>
      <c r="BS121" s="1383"/>
      <c r="BT121" s="1383"/>
      <c r="BU121" s="1383"/>
      <c r="BV121" s="1383"/>
      <c r="BW121" s="1383"/>
      <c r="BX121" s="1383"/>
      <c r="BY121" s="1383"/>
      <c r="BZ121" s="1383"/>
      <c r="CA121" s="1383"/>
      <c r="CB121" s="1383"/>
      <c r="CC121" s="1383"/>
      <c r="CD121" s="1383"/>
      <c r="CE121" s="1383"/>
      <c r="CF121" s="1383"/>
      <c r="CG121" s="1383"/>
      <c r="CH121" s="1383"/>
      <c r="CI121" s="1383"/>
      <c r="CJ121" s="1383"/>
      <c r="CK121" s="1383"/>
      <c r="CL121" s="1383"/>
      <c r="CM121" s="1383"/>
      <c r="CN121" s="1383"/>
      <c r="CO121" s="1383"/>
      <c r="CP121" s="1383"/>
      <c r="CQ121" s="1383"/>
      <c r="CR121" s="1383"/>
      <c r="CS121" s="1383"/>
      <c r="CT121" s="1383"/>
      <c r="CU121" s="1383"/>
      <c r="CV121" s="1383"/>
      <c r="CW121" s="1383"/>
      <c r="CX121" s="1383"/>
      <c r="CY121" s="1383"/>
      <c r="CZ121" s="1383"/>
      <c r="DA121" s="1383"/>
      <c r="DB121" s="1383"/>
      <c r="DC121" s="1383"/>
      <c r="DD121" s="1383"/>
      <c r="DE121" s="1383"/>
      <c r="DF121" s="1383"/>
      <c r="DG121" s="1383"/>
      <c r="DH121" s="1383"/>
      <c r="DI121" s="1383"/>
      <c r="DJ121" s="1383"/>
      <c r="DK121" s="1383"/>
      <c r="DL121" s="1383"/>
      <c r="DM121" s="1383"/>
      <c r="DN121" s="1383"/>
      <c r="DO121" s="1383"/>
      <c r="DP121" s="1383"/>
      <c r="DQ121" s="1383"/>
      <c r="DR121" s="1383"/>
      <c r="DS121" s="1383"/>
      <c r="DT121" s="1383"/>
      <c r="DU121" s="1383"/>
      <c r="DV121" s="1383"/>
      <c r="DW121" s="1383"/>
      <c r="DX121" s="1383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2"/>
      <c r="FK121" s="183"/>
      <c r="FL121" s="180"/>
      <c r="FM121" s="182"/>
    </row>
    <row r="122" spans="1:169" ht="3" customHeight="1">
      <c r="A122" s="183"/>
      <c r="B122" s="191"/>
      <c r="C122" s="190"/>
      <c r="D122" s="183"/>
      <c r="E122" s="183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383"/>
      <c r="AN122" s="1383"/>
      <c r="AO122" s="1383"/>
      <c r="AP122" s="1383"/>
      <c r="AQ122" s="1383"/>
      <c r="AR122" s="1383"/>
      <c r="AS122" s="1383"/>
      <c r="AT122" s="1383"/>
      <c r="AU122" s="1383"/>
      <c r="AV122" s="1383"/>
      <c r="AW122" s="1383"/>
      <c r="AX122" s="1383"/>
      <c r="AY122" s="1383"/>
      <c r="AZ122" s="1383"/>
      <c r="BA122" s="1383"/>
      <c r="BB122" s="1383"/>
      <c r="BC122" s="1383"/>
      <c r="BD122" s="1383"/>
      <c r="BE122" s="1383"/>
      <c r="BF122" s="1383"/>
      <c r="BG122" s="1383"/>
      <c r="BH122" s="1383"/>
      <c r="BI122" s="1383"/>
      <c r="BJ122" s="1383"/>
      <c r="BK122" s="1383"/>
      <c r="BL122" s="1383"/>
      <c r="BM122" s="1383"/>
      <c r="BN122" s="1383"/>
      <c r="BO122" s="1383"/>
      <c r="BP122" s="1383"/>
      <c r="BQ122" s="1383"/>
      <c r="BR122" s="1383"/>
      <c r="BS122" s="1383"/>
      <c r="BT122" s="1383"/>
      <c r="BU122" s="1383"/>
      <c r="BV122" s="1383"/>
      <c r="BW122" s="1383"/>
      <c r="BX122" s="1383"/>
      <c r="BY122" s="1383"/>
      <c r="BZ122" s="1383"/>
      <c r="CA122" s="1383"/>
      <c r="CB122" s="1383"/>
      <c r="CC122" s="1383"/>
      <c r="CD122" s="1383"/>
      <c r="CE122" s="1383"/>
      <c r="CF122" s="1383"/>
      <c r="CG122" s="1383"/>
      <c r="CH122" s="1383"/>
      <c r="CI122" s="1383"/>
      <c r="CJ122" s="1383"/>
      <c r="CK122" s="1383"/>
      <c r="CL122" s="1383"/>
      <c r="CM122" s="1383"/>
      <c r="CN122" s="1383"/>
      <c r="CO122" s="1383"/>
      <c r="CP122" s="1383"/>
      <c r="CQ122" s="1383"/>
      <c r="CR122" s="1383"/>
      <c r="CS122" s="1383"/>
      <c r="CT122" s="1383"/>
      <c r="CU122" s="1383"/>
      <c r="CV122" s="1383"/>
      <c r="CW122" s="1383"/>
      <c r="CX122" s="1383"/>
      <c r="CY122" s="1383"/>
      <c r="CZ122" s="1383"/>
      <c r="DA122" s="1383"/>
      <c r="DB122" s="1383"/>
      <c r="DC122" s="1383"/>
      <c r="DD122" s="1383"/>
      <c r="DE122" s="1383"/>
      <c r="DF122" s="1383"/>
      <c r="DG122" s="1383"/>
      <c r="DH122" s="1383"/>
      <c r="DI122" s="1383"/>
      <c r="DJ122" s="1383"/>
      <c r="DK122" s="1383"/>
      <c r="DL122" s="1383"/>
      <c r="DM122" s="1383"/>
      <c r="DN122" s="1383"/>
      <c r="DO122" s="1383"/>
      <c r="DP122" s="1383"/>
      <c r="DQ122" s="1383"/>
      <c r="DR122" s="1383"/>
      <c r="DS122" s="1383"/>
      <c r="DT122" s="1383"/>
      <c r="DU122" s="1383"/>
      <c r="DV122" s="1383"/>
      <c r="DW122" s="1383"/>
      <c r="DX122" s="1383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2"/>
      <c r="FK122" s="190"/>
      <c r="FL122" s="182"/>
      <c r="FM122" s="182"/>
    </row>
    <row r="123" spans="1:169" ht="3" customHeight="1">
      <c r="A123" s="183"/>
      <c r="B123" s="183"/>
      <c r="C123" s="179"/>
      <c r="E123" s="183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383"/>
      <c r="AN123" s="1383"/>
      <c r="AO123" s="1383"/>
      <c r="AP123" s="1383"/>
      <c r="AQ123" s="1383"/>
      <c r="AR123" s="1383"/>
      <c r="AS123" s="1383"/>
      <c r="AT123" s="1383"/>
      <c r="AU123" s="1383"/>
      <c r="AV123" s="1383"/>
      <c r="AW123" s="1383"/>
      <c r="AX123" s="1383"/>
      <c r="AY123" s="1383"/>
      <c r="AZ123" s="1383"/>
      <c r="BA123" s="1383"/>
      <c r="BB123" s="1383"/>
      <c r="BC123" s="1383"/>
      <c r="BD123" s="1383"/>
      <c r="BE123" s="1383"/>
      <c r="BF123" s="1383"/>
      <c r="BG123" s="1383"/>
      <c r="BH123" s="1383"/>
      <c r="BI123" s="1383"/>
      <c r="BJ123" s="1383"/>
      <c r="BK123" s="1383"/>
      <c r="BL123" s="1383"/>
      <c r="BM123" s="1383"/>
      <c r="BN123" s="1383"/>
      <c r="BO123" s="1383"/>
      <c r="BP123" s="1383"/>
      <c r="BQ123" s="1383"/>
      <c r="BR123" s="1383"/>
      <c r="BS123" s="1383"/>
      <c r="BT123" s="1383"/>
      <c r="BU123" s="1383"/>
      <c r="BV123" s="1383"/>
      <c r="BW123" s="1383"/>
      <c r="BX123" s="1383"/>
      <c r="BY123" s="1383"/>
      <c r="BZ123" s="1383"/>
      <c r="CA123" s="1383"/>
      <c r="CB123" s="1383"/>
      <c r="CC123" s="1383"/>
      <c r="CD123" s="1383"/>
      <c r="CE123" s="1383"/>
      <c r="CF123" s="1383"/>
      <c r="CG123" s="1383"/>
      <c r="CH123" s="1383"/>
      <c r="CI123" s="1383"/>
      <c r="CJ123" s="1383"/>
      <c r="CK123" s="1383"/>
      <c r="CL123" s="1383"/>
      <c r="CM123" s="1383"/>
      <c r="CN123" s="1383"/>
      <c r="CO123" s="1383"/>
      <c r="CP123" s="1383"/>
      <c r="CQ123" s="1383"/>
      <c r="CR123" s="1383"/>
      <c r="CS123" s="1383"/>
      <c r="CT123" s="1383"/>
      <c r="CU123" s="1383"/>
      <c r="CV123" s="1383"/>
      <c r="CW123" s="1383"/>
      <c r="CX123" s="1383"/>
      <c r="CY123" s="1383"/>
      <c r="CZ123" s="1383"/>
      <c r="DA123" s="1383"/>
      <c r="DB123" s="1383"/>
      <c r="DC123" s="1383"/>
      <c r="DD123" s="1383"/>
      <c r="DE123" s="1383"/>
      <c r="DF123" s="1383"/>
      <c r="DG123" s="1383"/>
      <c r="DH123" s="1383"/>
      <c r="DI123" s="1383"/>
      <c r="DJ123" s="1383"/>
      <c r="DK123" s="1383"/>
      <c r="DL123" s="1383"/>
      <c r="DM123" s="1383"/>
      <c r="DN123" s="1383"/>
      <c r="DO123" s="1383"/>
      <c r="DP123" s="1383"/>
      <c r="DQ123" s="1383"/>
      <c r="DR123" s="1383"/>
      <c r="DS123" s="1383"/>
      <c r="DT123" s="1383"/>
      <c r="DU123" s="1383"/>
      <c r="DV123" s="1383"/>
      <c r="DW123" s="1383"/>
      <c r="DX123" s="1383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2"/>
      <c r="FK123" s="180"/>
      <c r="FL123" s="182"/>
      <c r="FM123" s="182"/>
    </row>
    <row r="124" spans="1:169" ht="3" customHeight="1">
      <c r="A124" s="183"/>
      <c r="B124" s="181"/>
      <c r="C124" s="191"/>
      <c r="D124" s="183"/>
      <c r="E124" s="183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383"/>
      <c r="AN124" s="1383"/>
      <c r="AO124" s="1383"/>
      <c r="AP124" s="1383"/>
      <c r="AQ124" s="1383"/>
      <c r="AR124" s="1383"/>
      <c r="AS124" s="1383"/>
      <c r="AT124" s="1383"/>
      <c r="AU124" s="1383"/>
      <c r="AV124" s="1383"/>
      <c r="AW124" s="1383"/>
      <c r="AX124" s="1383"/>
      <c r="AY124" s="1383"/>
      <c r="AZ124" s="1383"/>
      <c r="BA124" s="1383"/>
      <c r="BB124" s="1383"/>
      <c r="BC124" s="1383"/>
      <c r="BD124" s="1383"/>
      <c r="BE124" s="1383"/>
      <c r="BF124" s="1383"/>
      <c r="BG124" s="1383"/>
      <c r="BH124" s="1383"/>
      <c r="BI124" s="1383"/>
      <c r="BJ124" s="1383"/>
      <c r="BK124" s="1383"/>
      <c r="BL124" s="1383"/>
      <c r="BM124" s="1383"/>
      <c r="BN124" s="1383"/>
      <c r="BO124" s="1383"/>
      <c r="BP124" s="1383"/>
      <c r="BQ124" s="1383"/>
      <c r="BR124" s="1383"/>
      <c r="BS124" s="1383"/>
      <c r="BT124" s="1383"/>
      <c r="BU124" s="1383"/>
      <c r="BV124" s="1383"/>
      <c r="BW124" s="1383"/>
      <c r="BX124" s="1383"/>
      <c r="BY124" s="1383"/>
      <c r="BZ124" s="1383"/>
      <c r="CA124" s="1383"/>
      <c r="CB124" s="1383"/>
      <c r="CC124" s="1383"/>
      <c r="CD124" s="1383"/>
      <c r="CE124" s="1383"/>
      <c r="CF124" s="1383"/>
      <c r="CG124" s="1383"/>
      <c r="CH124" s="1383"/>
      <c r="CI124" s="1383"/>
      <c r="CJ124" s="1383"/>
      <c r="CK124" s="1383"/>
      <c r="CL124" s="1383"/>
      <c r="CM124" s="1383"/>
      <c r="CN124" s="1383"/>
      <c r="CO124" s="1383"/>
      <c r="CP124" s="1383"/>
      <c r="CQ124" s="1383"/>
      <c r="CR124" s="1383"/>
      <c r="CS124" s="1383"/>
      <c r="CT124" s="1383"/>
      <c r="CU124" s="1383"/>
      <c r="CV124" s="1383"/>
      <c r="CW124" s="1383"/>
      <c r="CX124" s="1383"/>
      <c r="CY124" s="1383"/>
      <c r="CZ124" s="1383"/>
      <c r="DA124" s="1383"/>
      <c r="DB124" s="1383"/>
      <c r="DC124" s="1383"/>
      <c r="DD124" s="1383"/>
      <c r="DE124" s="1383"/>
      <c r="DF124" s="1383"/>
      <c r="DG124" s="1383"/>
      <c r="DH124" s="1383"/>
      <c r="DI124" s="1383"/>
      <c r="DJ124" s="1383"/>
      <c r="DK124" s="1383"/>
      <c r="DL124" s="1383"/>
      <c r="DM124" s="1383"/>
      <c r="DN124" s="1383"/>
      <c r="DO124" s="1383"/>
      <c r="DP124" s="1383"/>
      <c r="DQ124" s="1383"/>
      <c r="DR124" s="1383"/>
      <c r="DS124" s="1383"/>
      <c r="DT124" s="1383"/>
      <c r="DU124" s="1383"/>
      <c r="DV124" s="1383"/>
      <c r="DW124" s="1383"/>
      <c r="DX124" s="1383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2"/>
      <c r="FK124" s="183"/>
      <c r="FL124" s="190"/>
      <c r="FM124" s="182"/>
    </row>
    <row r="125" spans="1:169" ht="3" customHeight="1">
      <c r="A125" s="183"/>
      <c r="B125" s="179"/>
      <c r="D125" s="183"/>
      <c r="E125" s="183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383"/>
      <c r="AN125" s="1383"/>
      <c r="AO125" s="1383"/>
      <c r="AP125" s="1383"/>
      <c r="AQ125" s="1383"/>
      <c r="AR125" s="1383"/>
      <c r="AS125" s="1383"/>
      <c r="AT125" s="1383"/>
      <c r="AU125" s="1383"/>
      <c r="AV125" s="1383"/>
      <c r="AW125" s="1383"/>
      <c r="AX125" s="1383"/>
      <c r="AY125" s="1383"/>
      <c r="AZ125" s="1383"/>
      <c r="BA125" s="1383"/>
      <c r="BB125" s="1383"/>
      <c r="BC125" s="1383"/>
      <c r="BD125" s="1383"/>
      <c r="BE125" s="1383"/>
      <c r="BF125" s="1383"/>
      <c r="BG125" s="1383"/>
      <c r="BH125" s="1383"/>
      <c r="BI125" s="1383"/>
      <c r="BJ125" s="1383"/>
      <c r="BK125" s="1383"/>
      <c r="BL125" s="1383"/>
      <c r="BM125" s="1383"/>
      <c r="BN125" s="1383"/>
      <c r="BO125" s="1383"/>
      <c r="BP125" s="1383"/>
      <c r="BQ125" s="1383"/>
      <c r="BR125" s="1383"/>
      <c r="BS125" s="1383"/>
      <c r="BT125" s="1383"/>
      <c r="BU125" s="1383"/>
      <c r="BV125" s="1383"/>
      <c r="BW125" s="1383"/>
      <c r="BX125" s="1383"/>
      <c r="BY125" s="1383"/>
      <c r="BZ125" s="1383"/>
      <c r="CA125" s="1383"/>
      <c r="CB125" s="1383"/>
      <c r="CC125" s="1383"/>
      <c r="CD125" s="1383"/>
      <c r="CE125" s="1383"/>
      <c r="CF125" s="1383"/>
      <c r="CG125" s="1383"/>
      <c r="CH125" s="1383"/>
      <c r="CI125" s="1383"/>
      <c r="CJ125" s="1383"/>
      <c r="CK125" s="1383"/>
      <c r="CL125" s="1383"/>
      <c r="CM125" s="1383"/>
      <c r="CN125" s="1383"/>
      <c r="CO125" s="1383"/>
      <c r="CP125" s="1383"/>
      <c r="CQ125" s="1383"/>
      <c r="CR125" s="1383"/>
      <c r="CS125" s="1383"/>
      <c r="CT125" s="1383"/>
      <c r="CU125" s="1383"/>
      <c r="CV125" s="1383"/>
      <c r="CW125" s="1383"/>
      <c r="CX125" s="1383"/>
      <c r="CY125" s="1383"/>
      <c r="CZ125" s="1383"/>
      <c r="DA125" s="1383"/>
      <c r="DB125" s="1383"/>
      <c r="DC125" s="1383"/>
      <c r="DD125" s="1383"/>
      <c r="DE125" s="1383"/>
      <c r="DF125" s="1383"/>
      <c r="DG125" s="1383"/>
      <c r="DH125" s="1383"/>
      <c r="DI125" s="1383"/>
      <c r="DJ125" s="1383"/>
      <c r="DK125" s="1383"/>
      <c r="DL125" s="1383"/>
      <c r="DM125" s="1383"/>
      <c r="DN125" s="1383"/>
      <c r="DO125" s="1383"/>
      <c r="DP125" s="1383"/>
      <c r="DQ125" s="1383"/>
      <c r="DR125" s="1383"/>
      <c r="DS125" s="1383"/>
      <c r="DT125" s="1383"/>
      <c r="DU125" s="1383"/>
      <c r="DV125" s="1383"/>
      <c r="DW125" s="1383"/>
      <c r="DX125" s="1383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2"/>
      <c r="FK125" s="183"/>
      <c r="FL125" s="180"/>
      <c r="FM125" s="182"/>
    </row>
    <row r="126" spans="1:169" ht="3" customHeight="1">
      <c r="A126" s="183"/>
      <c r="B126" s="191"/>
      <c r="C126" s="190"/>
      <c r="D126" s="183"/>
      <c r="E126" s="183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383"/>
      <c r="AN126" s="1383"/>
      <c r="AO126" s="1383"/>
      <c r="AP126" s="1383"/>
      <c r="AQ126" s="1383"/>
      <c r="AR126" s="1383"/>
      <c r="AS126" s="1383"/>
      <c r="AT126" s="1383"/>
      <c r="AU126" s="1383"/>
      <c r="AV126" s="1383"/>
      <c r="AW126" s="1383"/>
      <c r="AX126" s="1383"/>
      <c r="AY126" s="1383"/>
      <c r="AZ126" s="1383"/>
      <c r="BA126" s="1383"/>
      <c r="BB126" s="1383"/>
      <c r="BC126" s="1383"/>
      <c r="BD126" s="1383"/>
      <c r="BE126" s="1383"/>
      <c r="BF126" s="1383"/>
      <c r="BG126" s="1383"/>
      <c r="BH126" s="1383"/>
      <c r="BI126" s="1383"/>
      <c r="BJ126" s="1383"/>
      <c r="BK126" s="1383"/>
      <c r="BL126" s="1383"/>
      <c r="BM126" s="1383"/>
      <c r="BN126" s="1383"/>
      <c r="BO126" s="1383"/>
      <c r="BP126" s="1383"/>
      <c r="BQ126" s="1383"/>
      <c r="BR126" s="1383"/>
      <c r="BS126" s="1383"/>
      <c r="BT126" s="1383"/>
      <c r="BU126" s="1383"/>
      <c r="BV126" s="1383"/>
      <c r="BW126" s="1383"/>
      <c r="BX126" s="1383"/>
      <c r="BY126" s="1383"/>
      <c r="BZ126" s="1383"/>
      <c r="CA126" s="1383"/>
      <c r="CB126" s="1383"/>
      <c r="CC126" s="1383"/>
      <c r="CD126" s="1383"/>
      <c r="CE126" s="1383"/>
      <c r="CF126" s="1383"/>
      <c r="CG126" s="1383"/>
      <c r="CH126" s="1383"/>
      <c r="CI126" s="1383"/>
      <c r="CJ126" s="1383"/>
      <c r="CK126" s="1383"/>
      <c r="CL126" s="1383"/>
      <c r="CM126" s="1383"/>
      <c r="CN126" s="1383"/>
      <c r="CO126" s="1383"/>
      <c r="CP126" s="1383"/>
      <c r="CQ126" s="1383"/>
      <c r="CR126" s="1383"/>
      <c r="CS126" s="1383"/>
      <c r="CT126" s="1383"/>
      <c r="CU126" s="1383"/>
      <c r="CV126" s="1383"/>
      <c r="CW126" s="1383"/>
      <c r="CX126" s="1383"/>
      <c r="CY126" s="1383"/>
      <c r="CZ126" s="1383"/>
      <c r="DA126" s="1383"/>
      <c r="DB126" s="1383"/>
      <c r="DC126" s="1383"/>
      <c r="DD126" s="1383"/>
      <c r="DE126" s="1383"/>
      <c r="DF126" s="1383"/>
      <c r="DG126" s="1383"/>
      <c r="DH126" s="1383"/>
      <c r="DI126" s="1383"/>
      <c r="DJ126" s="1383"/>
      <c r="DK126" s="1383"/>
      <c r="DL126" s="1383"/>
      <c r="DM126" s="1383"/>
      <c r="DN126" s="1383"/>
      <c r="DO126" s="1383"/>
      <c r="DP126" s="1383"/>
      <c r="DQ126" s="1383"/>
      <c r="DR126" s="1383"/>
      <c r="DS126" s="1383"/>
      <c r="DT126" s="1383"/>
      <c r="DU126" s="1383"/>
      <c r="DV126" s="1383"/>
      <c r="DW126" s="1383"/>
      <c r="DX126" s="1383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2"/>
      <c r="FK126" s="190"/>
      <c r="FL126" s="182"/>
      <c r="FM126" s="182"/>
    </row>
    <row r="127" spans="1:169" ht="3" customHeight="1">
      <c r="A127" s="183"/>
      <c r="B127" s="183"/>
      <c r="C127" s="179"/>
      <c r="E127" s="183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383"/>
      <c r="AN127" s="1383"/>
      <c r="AO127" s="1383"/>
      <c r="AP127" s="1383"/>
      <c r="AQ127" s="1383"/>
      <c r="AR127" s="1383"/>
      <c r="AS127" s="1383"/>
      <c r="AT127" s="1383"/>
      <c r="AU127" s="1383"/>
      <c r="AV127" s="1383"/>
      <c r="AW127" s="1383"/>
      <c r="AX127" s="1383"/>
      <c r="AY127" s="1383"/>
      <c r="AZ127" s="1383"/>
      <c r="BA127" s="1383"/>
      <c r="BB127" s="1383"/>
      <c r="BC127" s="1383"/>
      <c r="BD127" s="1383"/>
      <c r="BE127" s="1383"/>
      <c r="BF127" s="1383"/>
      <c r="BG127" s="1383"/>
      <c r="BH127" s="1383"/>
      <c r="BI127" s="1383"/>
      <c r="BJ127" s="1383"/>
      <c r="BK127" s="1383"/>
      <c r="BL127" s="1383"/>
      <c r="BM127" s="1383"/>
      <c r="BN127" s="1383"/>
      <c r="BO127" s="1383"/>
      <c r="BP127" s="1383"/>
      <c r="BQ127" s="1383"/>
      <c r="BR127" s="1383"/>
      <c r="BS127" s="1383"/>
      <c r="BT127" s="1383"/>
      <c r="BU127" s="1383"/>
      <c r="BV127" s="1383"/>
      <c r="BW127" s="1383"/>
      <c r="BX127" s="1383"/>
      <c r="BY127" s="1383"/>
      <c r="BZ127" s="1383"/>
      <c r="CA127" s="1383"/>
      <c r="CB127" s="1383"/>
      <c r="CC127" s="1383"/>
      <c r="CD127" s="1383"/>
      <c r="CE127" s="1383"/>
      <c r="CF127" s="1383"/>
      <c r="CG127" s="1383"/>
      <c r="CH127" s="1383"/>
      <c r="CI127" s="1383"/>
      <c r="CJ127" s="1383"/>
      <c r="CK127" s="1383"/>
      <c r="CL127" s="1383"/>
      <c r="CM127" s="1383"/>
      <c r="CN127" s="1383"/>
      <c r="CO127" s="1383"/>
      <c r="CP127" s="1383"/>
      <c r="CQ127" s="1383"/>
      <c r="CR127" s="1383"/>
      <c r="CS127" s="1383"/>
      <c r="CT127" s="1383"/>
      <c r="CU127" s="1383"/>
      <c r="CV127" s="1383"/>
      <c r="CW127" s="1383"/>
      <c r="CX127" s="1383"/>
      <c r="CY127" s="1383"/>
      <c r="CZ127" s="1383"/>
      <c r="DA127" s="1383"/>
      <c r="DB127" s="1383"/>
      <c r="DC127" s="1383"/>
      <c r="DD127" s="1383"/>
      <c r="DE127" s="1383"/>
      <c r="DF127" s="1383"/>
      <c r="DG127" s="1383"/>
      <c r="DH127" s="1383"/>
      <c r="DI127" s="1383"/>
      <c r="DJ127" s="1383"/>
      <c r="DK127" s="1383"/>
      <c r="DL127" s="1383"/>
      <c r="DM127" s="1383"/>
      <c r="DN127" s="1383"/>
      <c r="DO127" s="1383"/>
      <c r="DP127" s="1383"/>
      <c r="DQ127" s="1383"/>
      <c r="DR127" s="1383"/>
      <c r="DS127" s="1383"/>
      <c r="DT127" s="1383"/>
      <c r="DU127" s="1383"/>
      <c r="DV127" s="1383"/>
      <c r="DW127" s="1383"/>
      <c r="DX127" s="1383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2"/>
      <c r="FK127" s="180"/>
      <c r="FL127" s="182"/>
      <c r="FM127" s="182"/>
    </row>
    <row r="128" spans="1:169" ht="3" customHeight="1">
      <c r="A128" s="183"/>
      <c r="B128" s="190"/>
      <c r="C128" s="183"/>
      <c r="D128" s="183"/>
      <c r="E128" s="183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383"/>
      <c r="AN128" s="1383"/>
      <c r="AO128" s="1383"/>
      <c r="AP128" s="1383"/>
      <c r="AQ128" s="1383"/>
      <c r="AR128" s="1383"/>
      <c r="AS128" s="1383"/>
      <c r="AT128" s="1383"/>
      <c r="AU128" s="1383"/>
      <c r="AV128" s="1383"/>
      <c r="AW128" s="1383"/>
      <c r="AX128" s="1383"/>
      <c r="AY128" s="1383"/>
      <c r="AZ128" s="1383"/>
      <c r="BA128" s="1383"/>
      <c r="BB128" s="1383"/>
      <c r="BC128" s="1383"/>
      <c r="BD128" s="1383"/>
      <c r="BE128" s="1383"/>
      <c r="BF128" s="1383"/>
      <c r="BG128" s="1383"/>
      <c r="BH128" s="1383"/>
      <c r="BI128" s="1383"/>
      <c r="BJ128" s="1383"/>
      <c r="BK128" s="1383"/>
      <c r="BL128" s="1383"/>
      <c r="BM128" s="1383"/>
      <c r="BN128" s="1383"/>
      <c r="BO128" s="1383"/>
      <c r="BP128" s="1383"/>
      <c r="BQ128" s="1383"/>
      <c r="BR128" s="1383"/>
      <c r="BS128" s="1383"/>
      <c r="BT128" s="1383"/>
      <c r="BU128" s="1383"/>
      <c r="BV128" s="1383"/>
      <c r="BW128" s="1383"/>
      <c r="BX128" s="1383"/>
      <c r="BY128" s="1383"/>
      <c r="BZ128" s="1383"/>
      <c r="CA128" s="1383"/>
      <c r="CB128" s="1383"/>
      <c r="CC128" s="1383"/>
      <c r="CD128" s="1383"/>
      <c r="CE128" s="1383"/>
      <c r="CF128" s="1383"/>
      <c r="CG128" s="1383"/>
      <c r="CH128" s="1383"/>
      <c r="CI128" s="1383"/>
      <c r="CJ128" s="1383"/>
      <c r="CK128" s="1383"/>
      <c r="CL128" s="1383"/>
      <c r="CM128" s="1383"/>
      <c r="CN128" s="1383"/>
      <c r="CO128" s="1383"/>
      <c r="CP128" s="1383"/>
      <c r="CQ128" s="1383"/>
      <c r="CR128" s="1383"/>
      <c r="CS128" s="1383"/>
      <c r="CT128" s="1383"/>
      <c r="CU128" s="1383"/>
      <c r="CV128" s="1383"/>
      <c r="CW128" s="1383"/>
      <c r="CX128" s="1383"/>
      <c r="CY128" s="1383"/>
      <c r="CZ128" s="1383"/>
      <c r="DA128" s="1383"/>
      <c r="DB128" s="1383"/>
      <c r="DC128" s="1383"/>
      <c r="DD128" s="1383"/>
      <c r="DE128" s="1383"/>
      <c r="DF128" s="1383"/>
      <c r="DG128" s="1383"/>
      <c r="DH128" s="1383"/>
      <c r="DI128" s="1383"/>
      <c r="DJ128" s="1383"/>
      <c r="DK128" s="1383"/>
      <c r="DL128" s="1383"/>
      <c r="DM128" s="1383"/>
      <c r="DN128" s="1383"/>
      <c r="DO128" s="1383"/>
      <c r="DP128" s="1383"/>
      <c r="DQ128" s="1383"/>
      <c r="DR128" s="1383"/>
      <c r="DS128" s="1383"/>
      <c r="DT128" s="1383"/>
      <c r="DU128" s="1383"/>
      <c r="DV128" s="1383"/>
      <c r="DW128" s="1383"/>
      <c r="DX128" s="1383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2"/>
      <c r="FK128" s="183"/>
      <c r="FL128" s="190"/>
      <c r="FM128" s="182"/>
    </row>
    <row r="129" spans="1:169" ht="3" customHeight="1">
      <c r="A129" s="183"/>
      <c r="B129" s="179"/>
      <c r="D129" s="183"/>
      <c r="E129" s="183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383"/>
      <c r="AN129" s="1383"/>
      <c r="AO129" s="1383"/>
      <c r="AP129" s="1383"/>
      <c r="AQ129" s="1383"/>
      <c r="AR129" s="1383"/>
      <c r="AS129" s="1383"/>
      <c r="AT129" s="1383"/>
      <c r="AU129" s="1383"/>
      <c r="AV129" s="1383"/>
      <c r="AW129" s="1383"/>
      <c r="AX129" s="1383"/>
      <c r="AY129" s="1383"/>
      <c r="AZ129" s="1383"/>
      <c r="BA129" s="1383"/>
      <c r="BB129" s="1383"/>
      <c r="BC129" s="1383"/>
      <c r="BD129" s="1383"/>
      <c r="BE129" s="1383"/>
      <c r="BF129" s="1383"/>
      <c r="BG129" s="1383"/>
      <c r="BH129" s="1383"/>
      <c r="BI129" s="1383"/>
      <c r="BJ129" s="1383"/>
      <c r="BK129" s="1383"/>
      <c r="BL129" s="1383"/>
      <c r="BM129" s="1383"/>
      <c r="BN129" s="1383"/>
      <c r="BO129" s="1383"/>
      <c r="BP129" s="1383"/>
      <c r="BQ129" s="1383"/>
      <c r="BR129" s="1383"/>
      <c r="BS129" s="1383"/>
      <c r="BT129" s="1383"/>
      <c r="BU129" s="1383"/>
      <c r="BV129" s="1383"/>
      <c r="BW129" s="1383"/>
      <c r="BX129" s="1383"/>
      <c r="BY129" s="1383"/>
      <c r="BZ129" s="1383"/>
      <c r="CA129" s="1383"/>
      <c r="CB129" s="1383"/>
      <c r="CC129" s="1383"/>
      <c r="CD129" s="1383"/>
      <c r="CE129" s="1383"/>
      <c r="CF129" s="1383"/>
      <c r="CG129" s="1383"/>
      <c r="CH129" s="1383"/>
      <c r="CI129" s="1383"/>
      <c r="CJ129" s="1383"/>
      <c r="CK129" s="1383"/>
      <c r="CL129" s="1383"/>
      <c r="CM129" s="1383"/>
      <c r="CN129" s="1383"/>
      <c r="CO129" s="1383"/>
      <c r="CP129" s="1383"/>
      <c r="CQ129" s="1383"/>
      <c r="CR129" s="1383"/>
      <c r="CS129" s="1383"/>
      <c r="CT129" s="1383"/>
      <c r="CU129" s="1383"/>
      <c r="CV129" s="1383"/>
      <c r="CW129" s="1383"/>
      <c r="CX129" s="1383"/>
      <c r="CY129" s="1383"/>
      <c r="CZ129" s="1383"/>
      <c r="DA129" s="1383"/>
      <c r="DB129" s="1383"/>
      <c r="DC129" s="1383"/>
      <c r="DD129" s="1383"/>
      <c r="DE129" s="1383"/>
      <c r="DF129" s="1383"/>
      <c r="DG129" s="1383"/>
      <c r="DH129" s="1383"/>
      <c r="DI129" s="1383"/>
      <c r="DJ129" s="1383"/>
      <c r="DK129" s="1383"/>
      <c r="DL129" s="1383"/>
      <c r="DM129" s="1383"/>
      <c r="DN129" s="1383"/>
      <c r="DO129" s="1383"/>
      <c r="DP129" s="1383"/>
      <c r="DQ129" s="1383"/>
      <c r="DR129" s="1383"/>
      <c r="DS129" s="1383"/>
      <c r="DT129" s="1383"/>
      <c r="DU129" s="1383"/>
      <c r="DV129" s="1383"/>
      <c r="DW129" s="1383"/>
      <c r="DX129" s="1383"/>
      <c r="DY129" s="186"/>
      <c r="DZ129" s="186"/>
      <c r="EA129" s="186"/>
      <c r="EB129" s="186"/>
      <c r="EC129" s="186"/>
      <c r="ED129" s="186"/>
      <c r="EE129" s="186"/>
      <c r="EF129" s="186"/>
      <c r="EG129" s="186"/>
      <c r="EH129" s="186"/>
      <c r="EI129" s="186"/>
      <c r="EJ129" s="186"/>
      <c r="EK129" s="186"/>
      <c r="EL129" s="186"/>
      <c r="EM129" s="186"/>
      <c r="EN129" s="186"/>
      <c r="EO129" s="186"/>
      <c r="EP129" s="186"/>
      <c r="EQ129" s="186"/>
      <c r="ER129" s="186"/>
      <c r="ES129" s="186"/>
      <c r="ET129" s="186"/>
      <c r="EU129" s="186"/>
      <c r="EV129" s="186"/>
      <c r="EW129" s="186"/>
      <c r="EX129" s="186"/>
      <c r="EY129" s="186"/>
      <c r="EZ129" s="186"/>
      <c r="FA129" s="186"/>
      <c r="FB129" s="186"/>
      <c r="FC129" s="186"/>
      <c r="FD129" s="186"/>
      <c r="FE129" s="186"/>
      <c r="FF129" s="186"/>
      <c r="FG129" s="186"/>
      <c r="FH129" s="186"/>
      <c r="FI129" s="182"/>
      <c r="FK129" s="183"/>
      <c r="FL129" s="180"/>
      <c r="FM129" s="182"/>
    </row>
    <row r="130" spans="1:169" ht="3" customHeight="1">
      <c r="A130" s="183"/>
      <c r="B130" s="191"/>
      <c r="C130" s="190"/>
      <c r="D130" s="183"/>
      <c r="E130" s="183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383"/>
      <c r="AN130" s="1383"/>
      <c r="AO130" s="1383"/>
      <c r="AP130" s="1383"/>
      <c r="AQ130" s="1383"/>
      <c r="AR130" s="1383"/>
      <c r="AS130" s="1383"/>
      <c r="AT130" s="1383"/>
      <c r="AU130" s="1383"/>
      <c r="AV130" s="1383"/>
      <c r="AW130" s="1383"/>
      <c r="AX130" s="1383"/>
      <c r="AY130" s="1383"/>
      <c r="AZ130" s="1383"/>
      <c r="BA130" s="1383"/>
      <c r="BB130" s="1383"/>
      <c r="BC130" s="1383"/>
      <c r="BD130" s="1383"/>
      <c r="BE130" s="1383"/>
      <c r="BF130" s="1383"/>
      <c r="BG130" s="1383"/>
      <c r="BH130" s="1383"/>
      <c r="BI130" s="1383"/>
      <c r="BJ130" s="1383"/>
      <c r="BK130" s="1383"/>
      <c r="BL130" s="1383"/>
      <c r="BM130" s="1383"/>
      <c r="BN130" s="1383"/>
      <c r="BO130" s="1383"/>
      <c r="BP130" s="1383"/>
      <c r="BQ130" s="1383"/>
      <c r="BR130" s="1383"/>
      <c r="BS130" s="1383"/>
      <c r="BT130" s="1383"/>
      <c r="BU130" s="1383"/>
      <c r="BV130" s="1383"/>
      <c r="BW130" s="1383"/>
      <c r="BX130" s="1383"/>
      <c r="BY130" s="1383"/>
      <c r="BZ130" s="1383"/>
      <c r="CA130" s="1383"/>
      <c r="CB130" s="1383"/>
      <c r="CC130" s="1383"/>
      <c r="CD130" s="1383"/>
      <c r="CE130" s="1383"/>
      <c r="CF130" s="1383"/>
      <c r="CG130" s="1383"/>
      <c r="CH130" s="1383"/>
      <c r="CI130" s="1383"/>
      <c r="CJ130" s="1383"/>
      <c r="CK130" s="1383"/>
      <c r="CL130" s="1383"/>
      <c r="CM130" s="1383"/>
      <c r="CN130" s="1383"/>
      <c r="CO130" s="1383"/>
      <c r="CP130" s="1383"/>
      <c r="CQ130" s="1383"/>
      <c r="CR130" s="1383"/>
      <c r="CS130" s="1383"/>
      <c r="CT130" s="1383"/>
      <c r="CU130" s="1383"/>
      <c r="CV130" s="1383"/>
      <c r="CW130" s="1383"/>
      <c r="CX130" s="1383"/>
      <c r="CY130" s="1383"/>
      <c r="CZ130" s="1383"/>
      <c r="DA130" s="1383"/>
      <c r="DB130" s="1383"/>
      <c r="DC130" s="1383"/>
      <c r="DD130" s="1383"/>
      <c r="DE130" s="1383"/>
      <c r="DF130" s="1383"/>
      <c r="DG130" s="1383"/>
      <c r="DH130" s="1383"/>
      <c r="DI130" s="1383"/>
      <c r="DJ130" s="1383"/>
      <c r="DK130" s="1383"/>
      <c r="DL130" s="1383"/>
      <c r="DM130" s="1383"/>
      <c r="DN130" s="1383"/>
      <c r="DO130" s="1383"/>
      <c r="DP130" s="1383"/>
      <c r="DQ130" s="1383"/>
      <c r="DR130" s="1383"/>
      <c r="DS130" s="1383"/>
      <c r="DT130" s="1383"/>
      <c r="DU130" s="1383"/>
      <c r="DV130" s="1383"/>
      <c r="DW130" s="1383"/>
      <c r="DX130" s="1383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2"/>
      <c r="FK130" s="190"/>
      <c r="FL130" s="182"/>
      <c r="FM130" s="182"/>
    </row>
    <row r="131" spans="1:169" ht="3" customHeight="1">
      <c r="A131" s="183"/>
      <c r="B131" s="183"/>
      <c r="C131" s="179"/>
      <c r="E131" s="183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383"/>
      <c r="AN131" s="1383"/>
      <c r="AO131" s="1383"/>
      <c r="AP131" s="1383"/>
      <c r="AQ131" s="1383"/>
      <c r="AR131" s="1383"/>
      <c r="AS131" s="1383"/>
      <c r="AT131" s="1383"/>
      <c r="AU131" s="1383"/>
      <c r="AV131" s="1383"/>
      <c r="AW131" s="1383"/>
      <c r="AX131" s="1383"/>
      <c r="AY131" s="1383"/>
      <c r="AZ131" s="1383"/>
      <c r="BA131" s="1383"/>
      <c r="BB131" s="1383"/>
      <c r="BC131" s="1383"/>
      <c r="BD131" s="1383"/>
      <c r="BE131" s="1383"/>
      <c r="BF131" s="1383"/>
      <c r="BG131" s="1383"/>
      <c r="BH131" s="1383"/>
      <c r="BI131" s="1383"/>
      <c r="BJ131" s="1383"/>
      <c r="BK131" s="1383"/>
      <c r="BL131" s="1383"/>
      <c r="BM131" s="1383"/>
      <c r="BN131" s="1383"/>
      <c r="BO131" s="1383"/>
      <c r="BP131" s="1383"/>
      <c r="BQ131" s="1383"/>
      <c r="BR131" s="1383"/>
      <c r="BS131" s="1383"/>
      <c r="BT131" s="1383"/>
      <c r="BU131" s="1383"/>
      <c r="BV131" s="1383"/>
      <c r="BW131" s="1383"/>
      <c r="BX131" s="1383"/>
      <c r="BY131" s="1383"/>
      <c r="BZ131" s="1383"/>
      <c r="CA131" s="1383"/>
      <c r="CB131" s="1383"/>
      <c r="CC131" s="1383"/>
      <c r="CD131" s="1383"/>
      <c r="CE131" s="1383"/>
      <c r="CF131" s="1383"/>
      <c r="CG131" s="1383"/>
      <c r="CH131" s="1383"/>
      <c r="CI131" s="1383"/>
      <c r="CJ131" s="1383"/>
      <c r="CK131" s="1383"/>
      <c r="CL131" s="1383"/>
      <c r="CM131" s="1383"/>
      <c r="CN131" s="1383"/>
      <c r="CO131" s="1383"/>
      <c r="CP131" s="1383"/>
      <c r="CQ131" s="1383"/>
      <c r="CR131" s="1383"/>
      <c r="CS131" s="1383"/>
      <c r="CT131" s="1383"/>
      <c r="CU131" s="1383"/>
      <c r="CV131" s="1383"/>
      <c r="CW131" s="1383"/>
      <c r="CX131" s="1383"/>
      <c r="CY131" s="1383"/>
      <c r="CZ131" s="1383"/>
      <c r="DA131" s="1383"/>
      <c r="DB131" s="1383"/>
      <c r="DC131" s="1383"/>
      <c r="DD131" s="1383"/>
      <c r="DE131" s="1383"/>
      <c r="DF131" s="1383"/>
      <c r="DG131" s="1383"/>
      <c r="DH131" s="1383"/>
      <c r="DI131" s="1383"/>
      <c r="DJ131" s="1383"/>
      <c r="DK131" s="1383"/>
      <c r="DL131" s="1383"/>
      <c r="DM131" s="1383"/>
      <c r="DN131" s="1383"/>
      <c r="DO131" s="1383"/>
      <c r="DP131" s="1383"/>
      <c r="DQ131" s="1383"/>
      <c r="DR131" s="1383"/>
      <c r="DS131" s="1383"/>
      <c r="DT131" s="1383"/>
      <c r="DU131" s="1383"/>
      <c r="DV131" s="1383"/>
      <c r="DW131" s="1383"/>
      <c r="DX131" s="1383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2"/>
      <c r="FK131" s="180"/>
      <c r="FL131" s="182"/>
      <c r="FM131" s="182"/>
    </row>
    <row r="132" spans="1:169" ht="3" customHeight="1">
      <c r="A132" s="183"/>
      <c r="B132" s="181"/>
      <c r="C132" s="191"/>
      <c r="D132" s="183"/>
      <c r="E132" s="183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383"/>
      <c r="AN132" s="1383"/>
      <c r="AO132" s="1383"/>
      <c r="AP132" s="1383"/>
      <c r="AQ132" s="1383"/>
      <c r="AR132" s="1383"/>
      <c r="AS132" s="1383"/>
      <c r="AT132" s="1383"/>
      <c r="AU132" s="1383"/>
      <c r="AV132" s="1383"/>
      <c r="AW132" s="1383"/>
      <c r="AX132" s="1383"/>
      <c r="AY132" s="1383"/>
      <c r="AZ132" s="1383"/>
      <c r="BA132" s="1383"/>
      <c r="BB132" s="1383"/>
      <c r="BC132" s="1383"/>
      <c r="BD132" s="1383"/>
      <c r="BE132" s="1383"/>
      <c r="BF132" s="1383"/>
      <c r="BG132" s="1383"/>
      <c r="BH132" s="1383"/>
      <c r="BI132" s="1383"/>
      <c r="BJ132" s="1383"/>
      <c r="BK132" s="1383"/>
      <c r="BL132" s="1383"/>
      <c r="BM132" s="1383"/>
      <c r="BN132" s="1383"/>
      <c r="BO132" s="1383"/>
      <c r="BP132" s="1383"/>
      <c r="BQ132" s="1383"/>
      <c r="BR132" s="1383"/>
      <c r="BS132" s="1383"/>
      <c r="BT132" s="1383"/>
      <c r="BU132" s="1383"/>
      <c r="BV132" s="1383"/>
      <c r="BW132" s="1383"/>
      <c r="BX132" s="1383"/>
      <c r="BY132" s="1383"/>
      <c r="BZ132" s="1383"/>
      <c r="CA132" s="1383"/>
      <c r="CB132" s="1383"/>
      <c r="CC132" s="1383"/>
      <c r="CD132" s="1383"/>
      <c r="CE132" s="1383"/>
      <c r="CF132" s="1383"/>
      <c r="CG132" s="1383"/>
      <c r="CH132" s="1383"/>
      <c r="CI132" s="1383"/>
      <c r="CJ132" s="1383"/>
      <c r="CK132" s="1383"/>
      <c r="CL132" s="1383"/>
      <c r="CM132" s="1383"/>
      <c r="CN132" s="1383"/>
      <c r="CO132" s="1383"/>
      <c r="CP132" s="1383"/>
      <c r="CQ132" s="1383"/>
      <c r="CR132" s="1383"/>
      <c r="CS132" s="1383"/>
      <c r="CT132" s="1383"/>
      <c r="CU132" s="1383"/>
      <c r="CV132" s="1383"/>
      <c r="CW132" s="1383"/>
      <c r="CX132" s="1383"/>
      <c r="CY132" s="1383"/>
      <c r="CZ132" s="1383"/>
      <c r="DA132" s="1383"/>
      <c r="DB132" s="1383"/>
      <c r="DC132" s="1383"/>
      <c r="DD132" s="1383"/>
      <c r="DE132" s="1383"/>
      <c r="DF132" s="1383"/>
      <c r="DG132" s="1383"/>
      <c r="DH132" s="1383"/>
      <c r="DI132" s="1383"/>
      <c r="DJ132" s="1383"/>
      <c r="DK132" s="1383"/>
      <c r="DL132" s="1383"/>
      <c r="DM132" s="1383"/>
      <c r="DN132" s="1383"/>
      <c r="DO132" s="1383"/>
      <c r="DP132" s="1383"/>
      <c r="DQ132" s="1383"/>
      <c r="DR132" s="1383"/>
      <c r="DS132" s="1383"/>
      <c r="DT132" s="1383"/>
      <c r="DU132" s="1383"/>
      <c r="DV132" s="1383"/>
      <c r="DW132" s="1383"/>
      <c r="DX132" s="1383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2"/>
      <c r="FK132" s="183"/>
      <c r="FL132" s="190"/>
      <c r="FM132" s="182"/>
    </row>
    <row r="133" spans="1:169" ht="3" customHeight="1">
      <c r="A133" s="183"/>
      <c r="B133" s="179"/>
      <c r="D133" s="183"/>
      <c r="E133" s="183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383"/>
      <c r="AN133" s="1383"/>
      <c r="AO133" s="1383"/>
      <c r="AP133" s="1383"/>
      <c r="AQ133" s="1383"/>
      <c r="AR133" s="1383"/>
      <c r="AS133" s="1383"/>
      <c r="AT133" s="1383"/>
      <c r="AU133" s="1383"/>
      <c r="AV133" s="1383"/>
      <c r="AW133" s="1383"/>
      <c r="AX133" s="1383"/>
      <c r="AY133" s="1383"/>
      <c r="AZ133" s="1383"/>
      <c r="BA133" s="1383"/>
      <c r="BB133" s="1383"/>
      <c r="BC133" s="1383"/>
      <c r="BD133" s="1383"/>
      <c r="BE133" s="1383"/>
      <c r="BF133" s="1383"/>
      <c r="BG133" s="1383"/>
      <c r="BH133" s="1383"/>
      <c r="BI133" s="1383"/>
      <c r="BJ133" s="1383"/>
      <c r="BK133" s="1383"/>
      <c r="BL133" s="1383"/>
      <c r="BM133" s="1383"/>
      <c r="BN133" s="1383"/>
      <c r="BO133" s="1383"/>
      <c r="BP133" s="1383"/>
      <c r="BQ133" s="1383"/>
      <c r="BR133" s="1383"/>
      <c r="BS133" s="1383"/>
      <c r="BT133" s="1383"/>
      <c r="BU133" s="1383"/>
      <c r="BV133" s="1383"/>
      <c r="BW133" s="1383"/>
      <c r="BX133" s="1383"/>
      <c r="BY133" s="1383"/>
      <c r="BZ133" s="1383"/>
      <c r="CA133" s="1383"/>
      <c r="CB133" s="1383"/>
      <c r="CC133" s="1383"/>
      <c r="CD133" s="1383"/>
      <c r="CE133" s="1383"/>
      <c r="CF133" s="1383"/>
      <c r="CG133" s="1383"/>
      <c r="CH133" s="1383"/>
      <c r="CI133" s="1383"/>
      <c r="CJ133" s="1383"/>
      <c r="CK133" s="1383"/>
      <c r="CL133" s="1383"/>
      <c r="CM133" s="1383"/>
      <c r="CN133" s="1383"/>
      <c r="CO133" s="1383"/>
      <c r="CP133" s="1383"/>
      <c r="CQ133" s="1383"/>
      <c r="CR133" s="1383"/>
      <c r="CS133" s="1383"/>
      <c r="CT133" s="1383"/>
      <c r="CU133" s="1383"/>
      <c r="CV133" s="1383"/>
      <c r="CW133" s="1383"/>
      <c r="CX133" s="1383"/>
      <c r="CY133" s="1383"/>
      <c r="CZ133" s="1383"/>
      <c r="DA133" s="1383"/>
      <c r="DB133" s="1383"/>
      <c r="DC133" s="1383"/>
      <c r="DD133" s="1383"/>
      <c r="DE133" s="1383"/>
      <c r="DF133" s="1383"/>
      <c r="DG133" s="1383"/>
      <c r="DH133" s="1383"/>
      <c r="DI133" s="1383"/>
      <c r="DJ133" s="1383"/>
      <c r="DK133" s="1383"/>
      <c r="DL133" s="1383"/>
      <c r="DM133" s="1383"/>
      <c r="DN133" s="1383"/>
      <c r="DO133" s="1383"/>
      <c r="DP133" s="1383"/>
      <c r="DQ133" s="1383"/>
      <c r="DR133" s="1383"/>
      <c r="DS133" s="1383"/>
      <c r="DT133" s="1383"/>
      <c r="DU133" s="1383"/>
      <c r="DV133" s="1383"/>
      <c r="DW133" s="1383"/>
      <c r="DX133" s="1383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2"/>
      <c r="FK133" s="183"/>
      <c r="FL133" s="180"/>
      <c r="FM133" s="182"/>
    </row>
    <row r="134" spans="1:169" ht="3" customHeight="1">
      <c r="A134" s="183"/>
      <c r="B134" s="191"/>
      <c r="C134" s="190"/>
      <c r="D134" s="183"/>
      <c r="E134" s="183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383"/>
      <c r="AN134" s="1383"/>
      <c r="AO134" s="1383"/>
      <c r="AP134" s="1383"/>
      <c r="AQ134" s="1383"/>
      <c r="AR134" s="1383"/>
      <c r="AS134" s="1383"/>
      <c r="AT134" s="1383"/>
      <c r="AU134" s="1383"/>
      <c r="AV134" s="1383"/>
      <c r="AW134" s="1383"/>
      <c r="AX134" s="1383"/>
      <c r="AY134" s="1383"/>
      <c r="AZ134" s="1383"/>
      <c r="BA134" s="1383"/>
      <c r="BB134" s="1383"/>
      <c r="BC134" s="1383"/>
      <c r="BD134" s="1383"/>
      <c r="BE134" s="1383"/>
      <c r="BF134" s="1383"/>
      <c r="BG134" s="1383"/>
      <c r="BH134" s="1383"/>
      <c r="BI134" s="1383"/>
      <c r="BJ134" s="1383"/>
      <c r="BK134" s="1383"/>
      <c r="BL134" s="1383"/>
      <c r="BM134" s="1383"/>
      <c r="BN134" s="1383"/>
      <c r="BO134" s="1383"/>
      <c r="BP134" s="1383"/>
      <c r="BQ134" s="1383"/>
      <c r="BR134" s="1383"/>
      <c r="BS134" s="1383"/>
      <c r="BT134" s="1383"/>
      <c r="BU134" s="1383"/>
      <c r="BV134" s="1383"/>
      <c r="BW134" s="1383"/>
      <c r="BX134" s="1383"/>
      <c r="BY134" s="1383"/>
      <c r="BZ134" s="1383"/>
      <c r="CA134" s="1383"/>
      <c r="CB134" s="1383"/>
      <c r="CC134" s="1383"/>
      <c r="CD134" s="1383"/>
      <c r="CE134" s="1383"/>
      <c r="CF134" s="1383"/>
      <c r="CG134" s="1383"/>
      <c r="CH134" s="1383"/>
      <c r="CI134" s="1383"/>
      <c r="CJ134" s="1383"/>
      <c r="CK134" s="1383"/>
      <c r="CL134" s="1383"/>
      <c r="CM134" s="1383"/>
      <c r="CN134" s="1383"/>
      <c r="CO134" s="1383"/>
      <c r="CP134" s="1383"/>
      <c r="CQ134" s="1383"/>
      <c r="CR134" s="1383"/>
      <c r="CS134" s="1383"/>
      <c r="CT134" s="1383"/>
      <c r="CU134" s="1383"/>
      <c r="CV134" s="1383"/>
      <c r="CW134" s="1383"/>
      <c r="CX134" s="1383"/>
      <c r="CY134" s="1383"/>
      <c r="CZ134" s="1383"/>
      <c r="DA134" s="1383"/>
      <c r="DB134" s="1383"/>
      <c r="DC134" s="1383"/>
      <c r="DD134" s="1383"/>
      <c r="DE134" s="1383"/>
      <c r="DF134" s="1383"/>
      <c r="DG134" s="1383"/>
      <c r="DH134" s="1383"/>
      <c r="DI134" s="1383"/>
      <c r="DJ134" s="1383"/>
      <c r="DK134" s="1383"/>
      <c r="DL134" s="1383"/>
      <c r="DM134" s="1383"/>
      <c r="DN134" s="1383"/>
      <c r="DO134" s="1383"/>
      <c r="DP134" s="1383"/>
      <c r="DQ134" s="1383"/>
      <c r="DR134" s="1383"/>
      <c r="DS134" s="1383"/>
      <c r="DT134" s="1383"/>
      <c r="DU134" s="1383"/>
      <c r="DV134" s="1383"/>
      <c r="DW134" s="1383"/>
      <c r="DX134" s="1383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2"/>
      <c r="FK134" s="190"/>
      <c r="FL134" s="182"/>
      <c r="FM134" s="182"/>
    </row>
    <row r="135" spans="1:169" ht="3" customHeight="1">
      <c r="A135" s="183"/>
      <c r="B135" s="183"/>
      <c r="C135" s="179"/>
      <c r="E135" s="183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383"/>
      <c r="AN135" s="1383"/>
      <c r="AO135" s="1383"/>
      <c r="AP135" s="1383"/>
      <c r="AQ135" s="1383"/>
      <c r="AR135" s="1383"/>
      <c r="AS135" s="1383"/>
      <c r="AT135" s="1383"/>
      <c r="AU135" s="1383"/>
      <c r="AV135" s="1383"/>
      <c r="AW135" s="1383"/>
      <c r="AX135" s="1383"/>
      <c r="AY135" s="1383"/>
      <c r="AZ135" s="1383"/>
      <c r="BA135" s="1383"/>
      <c r="BB135" s="1383"/>
      <c r="BC135" s="1383"/>
      <c r="BD135" s="1383"/>
      <c r="BE135" s="1383"/>
      <c r="BF135" s="1383"/>
      <c r="BG135" s="1383"/>
      <c r="BH135" s="1383"/>
      <c r="BI135" s="1383"/>
      <c r="BJ135" s="1383"/>
      <c r="BK135" s="1383"/>
      <c r="BL135" s="1383"/>
      <c r="BM135" s="1383"/>
      <c r="BN135" s="1383"/>
      <c r="BO135" s="1383"/>
      <c r="BP135" s="1383"/>
      <c r="BQ135" s="1383"/>
      <c r="BR135" s="1383"/>
      <c r="BS135" s="1383"/>
      <c r="BT135" s="1383"/>
      <c r="BU135" s="1383"/>
      <c r="BV135" s="1383"/>
      <c r="BW135" s="1383"/>
      <c r="BX135" s="1383"/>
      <c r="BY135" s="1383"/>
      <c r="BZ135" s="1383"/>
      <c r="CA135" s="1383"/>
      <c r="CB135" s="1383"/>
      <c r="CC135" s="1383"/>
      <c r="CD135" s="1383"/>
      <c r="CE135" s="1383"/>
      <c r="CF135" s="1383"/>
      <c r="CG135" s="1383"/>
      <c r="CH135" s="1383"/>
      <c r="CI135" s="1383"/>
      <c r="CJ135" s="1383"/>
      <c r="CK135" s="1383"/>
      <c r="CL135" s="1383"/>
      <c r="CM135" s="1383"/>
      <c r="CN135" s="1383"/>
      <c r="CO135" s="1383"/>
      <c r="CP135" s="1383"/>
      <c r="CQ135" s="1383"/>
      <c r="CR135" s="1383"/>
      <c r="CS135" s="1383"/>
      <c r="CT135" s="1383"/>
      <c r="CU135" s="1383"/>
      <c r="CV135" s="1383"/>
      <c r="CW135" s="1383"/>
      <c r="CX135" s="1383"/>
      <c r="CY135" s="1383"/>
      <c r="CZ135" s="1383"/>
      <c r="DA135" s="1383"/>
      <c r="DB135" s="1383"/>
      <c r="DC135" s="1383"/>
      <c r="DD135" s="1383"/>
      <c r="DE135" s="1383"/>
      <c r="DF135" s="1383"/>
      <c r="DG135" s="1383"/>
      <c r="DH135" s="1383"/>
      <c r="DI135" s="1383"/>
      <c r="DJ135" s="1383"/>
      <c r="DK135" s="1383"/>
      <c r="DL135" s="1383"/>
      <c r="DM135" s="1383"/>
      <c r="DN135" s="1383"/>
      <c r="DO135" s="1383"/>
      <c r="DP135" s="1383"/>
      <c r="DQ135" s="1383"/>
      <c r="DR135" s="1383"/>
      <c r="DS135" s="1383"/>
      <c r="DT135" s="1383"/>
      <c r="DU135" s="1383"/>
      <c r="DV135" s="1383"/>
      <c r="DW135" s="1383"/>
      <c r="DX135" s="1383"/>
      <c r="DY135" s="186"/>
      <c r="DZ135" s="186"/>
      <c r="EA135" s="186"/>
      <c r="EB135" s="186"/>
      <c r="EC135" s="186"/>
      <c r="ED135" s="186"/>
      <c r="EE135" s="186"/>
      <c r="EF135" s="186"/>
      <c r="EG135" s="186"/>
      <c r="EH135" s="186"/>
      <c r="EI135" s="186"/>
      <c r="EJ135" s="186"/>
      <c r="EK135" s="186"/>
      <c r="EL135" s="186"/>
      <c r="EM135" s="186"/>
      <c r="EN135" s="186"/>
      <c r="EO135" s="186"/>
      <c r="EP135" s="186"/>
      <c r="EQ135" s="186"/>
      <c r="ER135" s="186"/>
      <c r="ES135" s="186"/>
      <c r="ET135" s="186"/>
      <c r="EU135" s="186"/>
      <c r="EV135" s="186"/>
      <c r="EW135" s="186"/>
      <c r="EX135" s="186"/>
      <c r="EY135" s="186"/>
      <c r="EZ135" s="186"/>
      <c r="FA135" s="186"/>
      <c r="FB135" s="186"/>
      <c r="FC135" s="186"/>
      <c r="FD135" s="186"/>
      <c r="FE135" s="186"/>
      <c r="FF135" s="186"/>
      <c r="FG135" s="186"/>
      <c r="FH135" s="186"/>
      <c r="FI135" s="182"/>
      <c r="FK135" s="180"/>
      <c r="FL135" s="182"/>
      <c r="FM135" s="182"/>
    </row>
    <row r="136" spans="1:169" ht="3" customHeight="1">
      <c r="A136" s="183"/>
      <c r="B136" s="190"/>
      <c r="C136" s="183"/>
      <c r="D136" s="183"/>
      <c r="E136" s="183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383"/>
      <c r="AN136" s="1383"/>
      <c r="AO136" s="1383"/>
      <c r="AP136" s="1383"/>
      <c r="AQ136" s="1383"/>
      <c r="AR136" s="1383"/>
      <c r="AS136" s="1383"/>
      <c r="AT136" s="1383"/>
      <c r="AU136" s="1383"/>
      <c r="AV136" s="1383"/>
      <c r="AW136" s="1383"/>
      <c r="AX136" s="1383"/>
      <c r="AY136" s="1383"/>
      <c r="AZ136" s="1383"/>
      <c r="BA136" s="1383"/>
      <c r="BB136" s="1383"/>
      <c r="BC136" s="1383"/>
      <c r="BD136" s="1383"/>
      <c r="BE136" s="1383"/>
      <c r="BF136" s="1383"/>
      <c r="BG136" s="1383"/>
      <c r="BH136" s="1383"/>
      <c r="BI136" s="1383"/>
      <c r="BJ136" s="1383"/>
      <c r="BK136" s="1383"/>
      <c r="BL136" s="1383"/>
      <c r="BM136" s="1383"/>
      <c r="BN136" s="1383"/>
      <c r="BO136" s="1383"/>
      <c r="BP136" s="1383"/>
      <c r="BQ136" s="1383"/>
      <c r="BR136" s="1383"/>
      <c r="BS136" s="1383"/>
      <c r="BT136" s="1383"/>
      <c r="BU136" s="1383"/>
      <c r="BV136" s="1383"/>
      <c r="BW136" s="1383"/>
      <c r="BX136" s="1383"/>
      <c r="BY136" s="1383"/>
      <c r="BZ136" s="1383"/>
      <c r="CA136" s="1383"/>
      <c r="CB136" s="1383"/>
      <c r="CC136" s="1383"/>
      <c r="CD136" s="1383"/>
      <c r="CE136" s="1383"/>
      <c r="CF136" s="1383"/>
      <c r="CG136" s="1383"/>
      <c r="CH136" s="1383"/>
      <c r="CI136" s="1383"/>
      <c r="CJ136" s="1383"/>
      <c r="CK136" s="1383"/>
      <c r="CL136" s="1383"/>
      <c r="CM136" s="1383"/>
      <c r="CN136" s="1383"/>
      <c r="CO136" s="1383"/>
      <c r="CP136" s="1383"/>
      <c r="CQ136" s="1383"/>
      <c r="CR136" s="1383"/>
      <c r="CS136" s="1383"/>
      <c r="CT136" s="1383"/>
      <c r="CU136" s="1383"/>
      <c r="CV136" s="1383"/>
      <c r="CW136" s="1383"/>
      <c r="CX136" s="1383"/>
      <c r="CY136" s="1383"/>
      <c r="CZ136" s="1383"/>
      <c r="DA136" s="1383"/>
      <c r="DB136" s="1383"/>
      <c r="DC136" s="1383"/>
      <c r="DD136" s="1383"/>
      <c r="DE136" s="1383"/>
      <c r="DF136" s="1383"/>
      <c r="DG136" s="1383"/>
      <c r="DH136" s="1383"/>
      <c r="DI136" s="1383"/>
      <c r="DJ136" s="1383"/>
      <c r="DK136" s="1383"/>
      <c r="DL136" s="1383"/>
      <c r="DM136" s="1383"/>
      <c r="DN136" s="1383"/>
      <c r="DO136" s="1383"/>
      <c r="DP136" s="1383"/>
      <c r="DQ136" s="1383"/>
      <c r="DR136" s="1383"/>
      <c r="DS136" s="1383"/>
      <c r="DT136" s="1383"/>
      <c r="DU136" s="1383"/>
      <c r="DV136" s="1383"/>
      <c r="DW136" s="1383"/>
      <c r="DX136" s="1383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2"/>
      <c r="FK136" s="183"/>
      <c r="FL136" s="190"/>
      <c r="FM136" s="182"/>
    </row>
    <row r="137" spans="1:169" ht="3" customHeight="1">
      <c r="A137" s="183"/>
      <c r="B137" s="179"/>
      <c r="D137" s="183"/>
      <c r="E137" s="183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2"/>
      <c r="FK137" s="183"/>
      <c r="FL137" s="180"/>
      <c r="FM137" s="182"/>
    </row>
    <row r="138" spans="1:169" ht="3" customHeight="1">
      <c r="A138" s="183"/>
      <c r="B138" s="191"/>
      <c r="C138" s="190"/>
      <c r="D138" s="183"/>
      <c r="E138" s="183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2"/>
      <c r="FK138" s="190"/>
      <c r="FL138" s="182"/>
      <c r="FM138" s="182"/>
    </row>
    <row r="139" spans="1:169" ht="3" customHeight="1">
      <c r="A139" s="183"/>
      <c r="B139" s="183"/>
      <c r="C139" s="179"/>
      <c r="E139" s="183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2"/>
      <c r="FK139" s="180"/>
      <c r="FL139" s="182"/>
      <c r="FM139" s="182"/>
    </row>
    <row r="140" spans="1:169" ht="3" customHeight="1">
      <c r="A140" s="183"/>
      <c r="B140" s="181"/>
      <c r="C140" s="191"/>
      <c r="D140" s="183"/>
      <c r="E140" s="183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2"/>
      <c r="FK140" s="183"/>
      <c r="FL140" s="190"/>
      <c r="FM140" s="182"/>
    </row>
    <row r="141" spans="1:169" ht="3" customHeight="1">
      <c r="A141" s="183"/>
      <c r="B141" s="179"/>
      <c r="D141" s="183"/>
      <c r="E141" s="183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2"/>
      <c r="FK141" s="183"/>
      <c r="FL141" s="180"/>
      <c r="FM141" s="182"/>
    </row>
    <row r="142" spans="1:169" ht="3" customHeight="1">
      <c r="A142" s="183"/>
      <c r="B142" s="191"/>
      <c r="C142" s="190"/>
      <c r="D142" s="183"/>
      <c r="E142" s="183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2"/>
      <c r="FK142" s="190"/>
      <c r="FL142" s="182"/>
      <c r="FM142" s="182"/>
    </row>
    <row r="143" spans="1:169" ht="3" customHeight="1">
      <c r="A143" s="183"/>
      <c r="B143" s="183"/>
      <c r="C143" s="179"/>
      <c r="E143" s="183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2"/>
      <c r="FK143" s="180"/>
      <c r="FL143" s="182"/>
      <c r="FM143" s="182"/>
    </row>
    <row r="144" spans="1:169" ht="3" customHeight="1">
      <c r="A144" s="183"/>
      <c r="B144" s="190"/>
      <c r="C144" s="183"/>
      <c r="D144" s="183"/>
      <c r="E144" s="183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2"/>
      <c r="FK144" s="183"/>
      <c r="FL144" s="190"/>
      <c r="FM144" s="182"/>
    </row>
    <row r="145" spans="1:169" ht="3" customHeight="1">
      <c r="A145" s="183"/>
      <c r="B145" s="179"/>
      <c r="D145" s="183"/>
      <c r="E145" s="183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2"/>
      <c r="FK145" s="183"/>
      <c r="FL145" s="180"/>
      <c r="FM145" s="182"/>
    </row>
    <row r="146" spans="1:169" ht="3" customHeight="1">
      <c r="A146" s="183"/>
      <c r="B146" s="191"/>
      <c r="C146" s="190"/>
      <c r="D146" s="183"/>
      <c r="E146" s="183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383"/>
      <c r="AV146" s="1383"/>
      <c r="AW146" s="1383"/>
      <c r="AX146" s="1383"/>
      <c r="AY146" s="1383"/>
      <c r="AZ146" s="1383"/>
      <c r="BA146" s="1383"/>
      <c r="BB146" s="1383"/>
      <c r="BC146" s="1383"/>
      <c r="BD146" s="1383"/>
      <c r="BE146" s="1383"/>
      <c r="BF146" s="1383"/>
      <c r="BG146" s="1383"/>
      <c r="BH146" s="1383"/>
      <c r="BI146" s="1383"/>
      <c r="BJ146" s="1383"/>
      <c r="BK146" s="1383"/>
      <c r="BL146" s="1383"/>
      <c r="BM146" s="1383"/>
      <c r="BN146" s="1383"/>
      <c r="BO146" s="1383"/>
      <c r="BP146" s="1383"/>
      <c r="BQ146" s="1383"/>
      <c r="BR146" s="1383"/>
      <c r="BS146" s="1383"/>
      <c r="BT146" s="1383"/>
      <c r="BU146" s="1383"/>
      <c r="BV146" s="1383"/>
      <c r="BW146" s="1383"/>
      <c r="BX146" s="1383"/>
      <c r="BY146" s="1383"/>
      <c r="BZ146" s="1383"/>
      <c r="CA146" s="1383"/>
      <c r="CB146" s="1383"/>
      <c r="CC146" s="1383"/>
      <c r="CD146" s="1383"/>
      <c r="CE146" s="1383"/>
      <c r="CF146" s="1383"/>
      <c r="CG146" s="1383"/>
      <c r="CH146" s="1383"/>
      <c r="CI146" s="1383"/>
      <c r="CJ146" s="1383"/>
      <c r="CK146" s="1383"/>
      <c r="CL146" s="1383"/>
      <c r="CM146" s="1383"/>
      <c r="CN146" s="1383"/>
      <c r="CO146" s="1383"/>
      <c r="CP146" s="1383"/>
      <c r="CQ146" s="1383"/>
      <c r="CR146" s="1383"/>
      <c r="CS146" s="1383"/>
      <c r="CT146" s="1383"/>
      <c r="CU146" s="1383"/>
      <c r="CV146" s="1383"/>
      <c r="CW146" s="1383"/>
      <c r="CX146" s="1383"/>
      <c r="CY146" s="1383"/>
      <c r="CZ146" s="1383"/>
      <c r="DA146" s="1383"/>
      <c r="DB146" s="1383"/>
      <c r="DC146" s="1383"/>
      <c r="DD146" s="1383"/>
      <c r="DE146" s="1383"/>
      <c r="DF146" s="1383"/>
      <c r="DG146" s="1383"/>
      <c r="DH146" s="1383"/>
      <c r="DI146" s="1383"/>
      <c r="DJ146" s="1383"/>
      <c r="DK146" s="1383"/>
      <c r="DL146" s="1383"/>
      <c r="DM146" s="1383"/>
      <c r="DN146" s="1383"/>
      <c r="DO146" s="186"/>
      <c r="DP146" s="186"/>
      <c r="DQ146" s="186"/>
      <c r="DR146" s="186"/>
      <c r="DS146" s="186"/>
      <c r="DT146" s="186"/>
      <c r="DU146" s="186"/>
      <c r="DV146" s="186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2"/>
      <c r="FK146" s="190"/>
      <c r="FL146" s="182"/>
      <c r="FM146" s="182"/>
    </row>
    <row r="147" spans="1:169" ht="3" customHeight="1">
      <c r="A147" s="183"/>
      <c r="B147" s="183"/>
      <c r="C147" s="179"/>
      <c r="E147" s="183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383"/>
      <c r="AV147" s="1383"/>
      <c r="AW147" s="1383"/>
      <c r="AX147" s="1383"/>
      <c r="AY147" s="1383"/>
      <c r="AZ147" s="1383"/>
      <c r="BA147" s="1383"/>
      <c r="BB147" s="1383"/>
      <c r="BC147" s="1383"/>
      <c r="BD147" s="1383"/>
      <c r="BE147" s="1383"/>
      <c r="BF147" s="1383"/>
      <c r="BG147" s="1383"/>
      <c r="BH147" s="1383"/>
      <c r="BI147" s="1383"/>
      <c r="BJ147" s="1383"/>
      <c r="BK147" s="1383"/>
      <c r="BL147" s="1383"/>
      <c r="BM147" s="1383"/>
      <c r="BN147" s="1383"/>
      <c r="BO147" s="1383"/>
      <c r="BP147" s="1383"/>
      <c r="BQ147" s="1383"/>
      <c r="BR147" s="1383"/>
      <c r="BS147" s="1383"/>
      <c r="BT147" s="1383"/>
      <c r="BU147" s="1383"/>
      <c r="BV147" s="1383"/>
      <c r="BW147" s="1383"/>
      <c r="BX147" s="1383"/>
      <c r="BY147" s="1383"/>
      <c r="BZ147" s="1383"/>
      <c r="CA147" s="1383"/>
      <c r="CB147" s="1383"/>
      <c r="CC147" s="1383"/>
      <c r="CD147" s="1383"/>
      <c r="CE147" s="1383"/>
      <c r="CF147" s="1383"/>
      <c r="CG147" s="1383"/>
      <c r="CH147" s="1383"/>
      <c r="CI147" s="1383"/>
      <c r="CJ147" s="1383"/>
      <c r="CK147" s="1383"/>
      <c r="CL147" s="1383"/>
      <c r="CM147" s="1383"/>
      <c r="CN147" s="1383"/>
      <c r="CO147" s="1383"/>
      <c r="CP147" s="1383"/>
      <c r="CQ147" s="1383"/>
      <c r="CR147" s="1383"/>
      <c r="CS147" s="1383"/>
      <c r="CT147" s="1383"/>
      <c r="CU147" s="1383"/>
      <c r="CV147" s="1383"/>
      <c r="CW147" s="1383"/>
      <c r="CX147" s="1383"/>
      <c r="CY147" s="1383"/>
      <c r="CZ147" s="1383"/>
      <c r="DA147" s="1383"/>
      <c r="DB147" s="1383"/>
      <c r="DC147" s="1383"/>
      <c r="DD147" s="1383"/>
      <c r="DE147" s="1383"/>
      <c r="DF147" s="1383"/>
      <c r="DG147" s="1383"/>
      <c r="DH147" s="1383"/>
      <c r="DI147" s="1383"/>
      <c r="DJ147" s="1383"/>
      <c r="DK147" s="1383"/>
      <c r="DL147" s="1383"/>
      <c r="DM147" s="1383"/>
      <c r="DN147" s="1383"/>
      <c r="DO147" s="186"/>
      <c r="DP147" s="186"/>
      <c r="DQ147" s="186"/>
      <c r="DR147" s="186"/>
      <c r="DS147" s="186"/>
      <c r="DT147" s="186"/>
      <c r="DU147" s="186"/>
      <c r="DV147" s="186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2"/>
      <c r="FK147" s="180"/>
      <c r="FL147" s="182"/>
      <c r="FM147" s="182"/>
    </row>
    <row r="148" spans="1:169" ht="3" customHeight="1">
      <c r="A148" s="183"/>
      <c r="B148" s="181"/>
      <c r="C148" s="191"/>
      <c r="D148" s="183"/>
      <c r="E148" s="183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383"/>
      <c r="AV148" s="1383"/>
      <c r="AW148" s="1383"/>
      <c r="AX148" s="1383"/>
      <c r="AY148" s="1383"/>
      <c r="AZ148" s="1383"/>
      <c r="BA148" s="1383"/>
      <c r="BB148" s="1383"/>
      <c r="BC148" s="1383"/>
      <c r="BD148" s="1383"/>
      <c r="BE148" s="1383"/>
      <c r="BF148" s="1383"/>
      <c r="BG148" s="1383"/>
      <c r="BH148" s="1383"/>
      <c r="BI148" s="1383"/>
      <c r="BJ148" s="1383"/>
      <c r="BK148" s="1383"/>
      <c r="BL148" s="1383"/>
      <c r="BM148" s="1383"/>
      <c r="BN148" s="1383"/>
      <c r="BO148" s="1383"/>
      <c r="BP148" s="1383"/>
      <c r="BQ148" s="1383"/>
      <c r="BR148" s="1383"/>
      <c r="BS148" s="1383"/>
      <c r="BT148" s="1383"/>
      <c r="BU148" s="1383"/>
      <c r="BV148" s="1383"/>
      <c r="BW148" s="1383"/>
      <c r="BX148" s="1383"/>
      <c r="BY148" s="1383"/>
      <c r="BZ148" s="1383"/>
      <c r="CA148" s="1383"/>
      <c r="CB148" s="1383"/>
      <c r="CC148" s="1383"/>
      <c r="CD148" s="1383"/>
      <c r="CE148" s="1383"/>
      <c r="CF148" s="1383"/>
      <c r="CG148" s="1383"/>
      <c r="CH148" s="1383"/>
      <c r="CI148" s="1383"/>
      <c r="CJ148" s="1383"/>
      <c r="CK148" s="1383"/>
      <c r="CL148" s="1383"/>
      <c r="CM148" s="1383"/>
      <c r="CN148" s="1383"/>
      <c r="CO148" s="1383"/>
      <c r="CP148" s="1383"/>
      <c r="CQ148" s="1383"/>
      <c r="CR148" s="1383"/>
      <c r="CS148" s="1383"/>
      <c r="CT148" s="1383"/>
      <c r="CU148" s="1383"/>
      <c r="CV148" s="1383"/>
      <c r="CW148" s="1383"/>
      <c r="CX148" s="1383"/>
      <c r="CY148" s="1383"/>
      <c r="CZ148" s="1383"/>
      <c r="DA148" s="1383"/>
      <c r="DB148" s="1383"/>
      <c r="DC148" s="1383"/>
      <c r="DD148" s="1383"/>
      <c r="DE148" s="1383"/>
      <c r="DF148" s="1383"/>
      <c r="DG148" s="1383"/>
      <c r="DH148" s="1383"/>
      <c r="DI148" s="1383"/>
      <c r="DJ148" s="1383"/>
      <c r="DK148" s="1383"/>
      <c r="DL148" s="1383"/>
      <c r="DM148" s="1383"/>
      <c r="DN148" s="1383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2"/>
      <c r="FK148" s="183"/>
      <c r="FL148" s="190"/>
      <c r="FM148" s="182"/>
    </row>
    <row r="149" spans="1:169" ht="3" customHeight="1">
      <c r="A149" s="183"/>
      <c r="B149" s="179"/>
      <c r="D149" s="183"/>
      <c r="E149" s="183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383"/>
      <c r="AV149" s="1383"/>
      <c r="AW149" s="1383"/>
      <c r="AX149" s="1383"/>
      <c r="AY149" s="1383"/>
      <c r="AZ149" s="1383"/>
      <c r="BA149" s="1383"/>
      <c r="BB149" s="1383"/>
      <c r="BC149" s="1383"/>
      <c r="BD149" s="1383"/>
      <c r="BE149" s="1383"/>
      <c r="BF149" s="1383"/>
      <c r="BG149" s="1383"/>
      <c r="BH149" s="1383"/>
      <c r="BI149" s="1383"/>
      <c r="BJ149" s="1383"/>
      <c r="BK149" s="1383"/>
      <c r="BL149" s="1383"/>
      <c r="BM149" s="1383"/>
      <c r="BN149" s="1383"/>
      <c r="BO149" s="1383"/>
      <c r="BP149" s="1383"/>
      <c r="BQ149" s="1383"/>
      <c r="BR149" s="1383"/>
      <c r="BS149" s="1383"/>
      <c r="BT149" s="1383"/>
      <c r="BU149" s="1383"/>
      <c r="BV149" s="1383"/>
      <c r="BW149" s="1383"/>
      <c r="BX149" s="1383"/>
      <c r="BY149" s="1383"/>
      <c r="BZ149" s="1383"/>
      <c r="CA149" s="1383"/>
      <c r="CB149" s="1383"/>
      <c r="CC149" s="1383"/>
      <c r="CD149" s="1383"/>
      <c r="CE149" s="1383"/>
      <c r="CF149" s="1383"/>
      <c r="CG149" s="1383"/>
      <c r="CH149" s="1383"/>
      <c r="CI149" s="1383"/>
      <c r="CJ149" s="1383"/>
      <c r="CK149" s="1383"/>
      <c r="CL149" s="1383"/>
      <c r="CM149" s="1383"/>
      <c r="CN149" s="1383"/>
      <c r="CO149" s="1383"/>
      <c r="CP149" s="1383"/>
      <c r="CQ149" s="1383"/>
      <c r="CR149" s="1383"/>
      <c r="CS149" s="1383"/>
      <c r="CT149" s="1383"/>
      <c r="CU149" s="1383"/>
      <c r="CV149" s="1383"/>
      <c r="CW149" s="1383"/>
      <c r="CX149" s="1383"/>
      <c r="CY149" s="1383"/>
      <c r="CZ149" s="1383"/>
      <c r="DA149" s="1383"/>
      <c r="DB149" s="1383"/>
      <c r="DC149" s="1383"/>
      <c r="DD149" s="1383"/>
      <c r="DE149" s="1383"/>
      <c r="DF149" s="1383"/>
      <c r="DG149" s="1383"/>
      <c r="DH149" s="1383"/>
      <c r="DI149" s="1383"/>
      <c r="DJ149" s="1383"/>
      <c r="DK149" s="1383"/>
      <c r="DL149" s="1383"/>
      <c r="DM149" s="1383"/>
      <c r="DN149" s="1383"/>
      <c r="DO149" s="186"/>
      <c r="DP149" s="186"/>
      <c r="DQ149" s="186"/>
      <c r="DR149" s="186"/>
      <c r="DS149" s="186"/>
      <c r="DT149" s="186"/>
      <c r="DU149" s="186"/>
      <c r="DV149" s="186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2"/>
      <c r="FK149" s="183"/>
      <c r="FL149" s="180"/>
      <c r="FM149" s="182"/>
    </row>
    <row r="150" spans="1:169" ht="3" customHeight="1">
      <c r="A150" s="183"/>
      <c r="B150" s="191"/>
      <c r="C150" s="190"/>
      <c r="D150" s="183"/>
      <c r="E150" s="183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2"/>
      <c r="FK150" s="190"/>
      <c r="FL150" s="182"/>
      <c r="FM150" s="182"/>
    </row>
    <row r="151" spans="1:169" ht="3" customHeight="1">
      <c r="A151" s="183"/>
      <c r="B151" s="183"/>
      <c r="C151" s="179"/>
      <c r="E151" s="183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2"/>
      <c r="FK151" s="180"/>
      <c r="FL151" s="182"/>
      <c r="FM151" s="182"/>
    </row>
    <row r="152" spans="1:169" ht="3" customHeight="1">
      <c r="A152" s="183"/>
      <c r="B152" s="190"/>
      <c r="C152" s="183"/>
      <c r="D152" s="183"/>
      <c r="E152" s="183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2"/>
      <c r="FK152" s="183"/>
      <c r="FL152" s="190"/>
      <c r="FM152" s="182"/>
    </row>
    <row r="153" spans="1:169" ht="3" customHeight="1">
      <c r="A153" s="183"/>
      <c r="B153" s="179"/>
      <c r="D153" s="183"/>
      <c r="E153" s="183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2"/>
      <c r="FK153" s="183"/>
      <c r="FL153" s="180"/>
      <c r="FM153" s="182"/>
    </row>
    <row r="154" spans="1:169" ht="3" customHeight="1">
      <c r="A154" s="183"/>
      <c r="B154" s="191"/>
      <c r="C154" s="190"/>
      <c r="D154" s="183"/>
      <c r="E154" s="183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2"/>
      <c r="FK154" s="190"/>
      <c r="FL154" s="182"/>
      <c r="FM154" s="182"/>
    </row>
    <row r="155" spans="1:169" ht="3" customHeight="1">
      <c r="A155" s="183"/>
      <c r="B155" s="183"/>
      <c r="C155" s="179"/>
      <c r="E155" s="183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2"/>
      <c r="FK155" s="180"/>
      <c r="FL155" s="182"/>
      <c r="FM155" s="182"/>
    </row>
    <row r="156" spans="1:169" ht="3" customHeight="1">
      <c r="A156" s="183"/>
      <c r="B156" s="181"/>
      <c r="C156" s="191"/>
      <c r="D156" s="183"/>
      <c r="E156" s="183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2"/>
      <c r="FK156" s="183"/>
      <c r="FL156" s="190"/>
      <c r="FM156" s="182"/>
    </row>
    <row r="157" spans="1:169" ht="3" customHeight="1">
      <c r="A157" s="183"/>
      <c r="B157" s="179"/>
      <c r="D157" s="183"/>
      <c r="E157" s="183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2"/>
      <c r="FK157" s="183"/>
      <c r="FL157" s="180"/>
      <c r="FM157" s="182"/>
    </row>
    <row r="158" spans="1:169" ht="3" customHeight="1">
      <c r="A158" s="183"/>
      <c r="B158" s="191"/>
      <c r="C158" s="190"/>
      <c r="D158" s="183"/>
      <c r="E158" s="183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  <c r="DO158" s="186"/>
      <c r="DP158" s="186"/>
      <c r="DQ158" s="186"/>
      <c r="DR158" s="186"/>
      <c r="DS158" s="186"/>
      <c r="DT158" s="186"/>
      <c r="DU158" s="186"/>
      <c r="DV158" s="186"/>
      <c r="DW158" s="186"/>
      <c r="DX158" s="186"/>
      <c r="DY158" s="186"/>
      <c r="DZ158" s="186"/>
      <c r="EA158" s="186"/>
      <c r="EB158" s="186"/>
      <c r="EC158" s="186"/>
      <c r="ED158" s="186"/>
      <c r="EE158" s="186"/>
      <c r="EF158" s="186"/>
      <c r="EG158" s="186"/>
      <c r="EH158" s="186"/>
      <c r="EI158" s="186"/>
      <c r="EJ158" s="186"/>
      <c r="EK158" s="186"/>
      <c r="EL158" s="186"/>
      <c r="EM158" s="186"/>
      <c r="EN158" s="186"/>
      <c r="EO158" s="186"/>
      <c r="EP158" s="186"/>
      <c r="EQ158" s="186"/>
      <c r="ER158" s="186"/>
      <c r="ES158" s="186"/>
      <c r="ET158" s="186"/>
      <c r="EU158" s="186"/>
      <c r="EV158" s="186"/>
      <c r="EW158" s="186"/>
      <c r="EX158" s="186"/>
      <c r="EY158" s="186"/>
      <c r="EZ158" s="186"/>
      <c r="FA158" s="186"/>
      <c r="FB158" s="186"/>
      <c r="FC158" s="186"/>
      <c r="FD158" s="186"/>
      <c r="FE158" s="186"/>
      <c r="FF158" s="186"/>
      <c r="FG158" s="186"/>
      <c r="FH158" s="186"/>
      <c r="FI158" s="182"/>
      <c r="FK158" s="190"/>
      <c r="FL158" s="182"/>
      <c r="FM158" s="182"/>
    </row>
    <row r="159" spans="1:169" ht="3" customHeight="1">
      <c r="A159" s="183"/>
      <c r="B159" s="183"/>
      <c r="C159" s="179"/>
      <c r="E159" s="183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2"/>
      <c r="FK159" s="180"/>
      <c r="FL159" s="182"/>
      <c r="FM159" s="182"/>
    </row>
    <row r="160" spans="1:169" ht="3" customHeight="1">
      <c r="A160" s="183"/>
      <c r="B160" s="190"/>
      <c r="C160" s="183"/>
      <c r="D160" s="183"/>
      <c r="E160" s="183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2"/>
      <c r="FK160" s="183"/>
      <c r="FL160" s="190"/>
      <c r="FM160" s="182"/>
    </row>
    <row r="161" spans="1:178" ht="3" customHeight="1">
      <c r="A161" s="183"/>
      <c r="B161" s="179"/>
      <c r="D161" s="183"/>
      <c r="E161" s="183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2"/>
      <c r="FK161" s="183"/>
      <c r="FL161" s="180"/>
      <c r="FM161" s="182"/>
    </row>
    <row r="162" spans="1:178" ht="3" customHeight="1">
      <c r="A162" s="183"/>
      <c r="B162" s="191"/>
      <c r="C162" s="190"/>
      <c r="D162" s="183"/>
      <c r="E162" s="183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384" t="s">
        <v>1209</v>
      </c>
      <c r="AG162" s="1384"/>
      <c r="AH162" s="1384"/>
      <c r="AI162" s="1384"/>
      <c r="AJ162" s="1384"/>
      <c r="AK162" s="1384"/>
      <c r="AL162" s="1384"/>
      <c r="AM162" s="1384"/>
      <c r="AN162" s="1384"/>
      <c r="AO162" s="1384"/>
      <c r="AP162" s="1384"/>
      <c r="AQ162" s="1384"/>
      <c r="AR162" s="1384"/>
      <c r="AS162" s="1384"/>
      <c r="AT162" s="1384"/>
      <c r="AU162" s="1384"/>
      <c r="AV162" s="1384"/>
      <c r="AW162" s="1384"/>
      <c r="AX162" s="1384"/>
      <c r="AY162" s="1384"/>
      <c r="AZ162" s="1384"/>
      <c r="BA162" s="1384"/>
      <c r="BB162" s="1384"/>
      <c r="BC162" s="1384"/>
      <c r="BD162" s="1384"/>
      <c r="BE162" s="1384"/>
      <c r="BF162" s="1384"/>
      <c r="BG162" s="1384"/>
      <c r="BH162" s="1384"/>
      <c r="BI162" s="1384"/>
      <c r="BJ162" s="1384"/>
      <c r="BK162" s="1384"/>
      <c r="BL162" s="1384"/>
      <c r="BM162" s="1384"/>
      <c r="BN162" s="1384"/>
      <c r="BO162" s="1384"/>
      <c r="BP162" s="1384"/>
      <c r="BQ162" s="1384"/>
      <c r="BR162" s="1384"/>
      <c r="BS162" s="1384"/>
      <c r="BT162" s="1384"/>
      <c r="BU162" s="1384"/>
      <c r="BV162" s="1384"/>
      <c r="BW162" s="1384"/>
      <c r="BX162" s="1384"/>
      <c r="BY162" s="1384"/>
      <c r="BZ162" s="1384"/>
      <c r="CA162" s="1384"/>
      <c r="CB162" s="1384"/>
      <c r="CC162" s="1384"/>
      <c r="CD162" s="1384"/>
      <c r="CE162" s="1384"/>
      <c r="CF162" s="1384"/>
      <c r="CG162" s="1384"/>
      <c r="CH162" s="1384"/>
      <c r="CI162" s="1384"/>
      <c r="CJ162" s="1384"/>
      <c r="CK162" s="1384"/>
      <c r="CL162" s="1384"/>
      <c r="CM162" s="1384"/>
      <c r="CN162" s="1384"/>
      <c r="CO162" s="1384"/>
      <c r="CP162" s="1384"/>
      <c r="CQ162" s="1384"/>
      <c r="CR162" s="1384"/>
      <c r="CS162" s="1384"/>
      <c r="CT162" s="1384"/>
      <c r="CU162" s="1384"/>
      <c r="CV162" s="1384"/>
      <c r="CW162" s="1384"/>
      <c r="CX162" s="1384"/>
      <c r="CY162" s="1384"/>
      <c r="CZ162" s="1384"/>
      <c r="DA162" s="1384"/>
      <c r="DB162" s="1384"/>
      <c r="DC162" s="1384"/>
      <c r="DD162" s="1384"/>
      <c r="DE162" s="1384"/>
      <c r="DF162" s="1384"/>
      <c r="DG162" s="1384"/>
      <c r="DH162" s="1384"/>
      <c r="DI162" s="1384"/>
      <c r="DJ162" s="1384"/>
      <c r="DK162" s="1384"/>
      <c r="DL162" s="1384"/>
      <c r="DM162" s="1384"/>
      <c r="DN162" s="1384"/>
      <c r="DO162" s="1384"/>
      <c r="DP162" s="1384"/>
      <c r="DQ162" s="1384"/>
      <c r="DR162" s="1384"/>
      <c r="DS162" s="1384"/>
      <c r="DT162" s="1384"/>
      <c r="DU162" s="1384"/>
      <c r="DV162" s="1384"/>
      <c r="DW162" s="1384"/>
      <c r="DX162" s="1384"/>
      <c r="DY162" s="1384"/>
      <c r="DZ162" s="1384"/>
      <c r="EA162" s="1384"/>
      <c r="EB162" s="1384"/>
      <c r="EC162" s="1384"/>
      <c r="ED162" s="1384"/>
      <c r="EE162" s="1384"/>
      <c r="EF162" s="1384"/>
      <c r="EG162" s="1384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2"/>
      <c r="FK162" s="190"/>
      <c r="FL162" s="182"/>
      <c r="FM162" s="182"/>
    </row>
    <row r="163" spans="1:178" ht="3" customHeight="1">
      <c r="A163" s="183"/>
      <c r="B163" s="183"/>
      <c r="C163" s="179"/>
      <c r="E163" s="183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384"/>
      <c r="AG163" s="1384"/>
      <c r="AH163" s="1384"/>
      <c r="AI163" s="1384"/>
      <c r="AJ163" s="1384"/>
      <c r="AK163" s="1384"/>
      <c r="AL163" s="1384"/>
      <c r="AM163" s="1384"/>
      <c r="AN163" s="1384"/>
      <c r="AO163" s="1384"/>
      <c r="AP163" s="1384"/>
      <c r="AQ163" s="1384"/>
      <c r="AR163" s="1384"/>
      <c r="AS163" s="1384"/>
      <c r="AT163" s="1384"/>
      <c r="AU163" s="1384"/>
      <c r="AV163" s="1384"/>
      <c r="AW163" s="1384"/>
      <c r="AX163" s="1384"/>
      <c r="AY163" s="1384"/>
      <c r="AZ163" s="1384"/>
      <c r="BA163" s="1384"/>
      <c r="BB163" s="1384"/>
      <c r="BC163" s="1384"/>
      <c r="BD163" s="1384"/>
      <c r="BE163" s="1384"/>
      <c r="BF163" s="1384"/>
      <c r="BG163" s="1384"/>
      <c r="BH163" s="1384"/>
      <c r="BI163" s="1384"/>
      <c r="BJ163" s="1384"/>
      <c r="BK163" s="1384"/>
      <c r="BL163" s="1384"/>
      <c r="BM163" s="1384"/>
      <c r="BN163" s="1384"/>
      <c r="BO163" s="1384"/>
      <c r="BP163" s="1384"/>
      <c r="BQ163" s="1384"/>
      <c r="BR163" s="1384"/>
      <c r="BS163" s="1384"/>
      <c r="BT163" s="1384"/>
      <c r="BU163" s="1384"/>
      <c r="BV163" s="1384"/>
      <c r="BW163" s="1384"/>
      <c r="BX163" s="1384"/>
      <c r="BY163" s="1384"/>
      <c r="BZ163" s="1384"/>
      <c r="CA163" s="1384"/>
      <c r="CB163" s="1384"/>
      <c r="CC163" s="1384"/>
      <c r="CD163" s="1384"/>
      <c r="CE163" s="1384"/>
      <c r="CF163" s="1384"/>
      <c r="CG163" s="1384"/>
      <c r="CH163" s="1384"/>
      <c r="CI163" s="1384"/>
      <c r="CJ163" s="1384"/>
      <c r="CK163" s="1384"/>
      <c r="CL163" s="1384"/>
      <c r="CM163" s="1384"/>
      <c r="CN163" s="1384"/>
      <c r="CO163" s="1384"/>
      <c r="CP163" s="1384"/>
      <c r="CQ163" s="1384"/>
      <c r="CR163" s="1384"/>
      <c r="CS163" s="1384"/>
      <c r="CT163" s="1384"/>
      <c r="CU163" s="1384"/>
      <c r="CV163" s="1384"/>
      <c r="CW163" s="1384"/>
      <c r="CX163" s="1384"/>
      <c r="CY163" s="1384"/>
      <c r="CZ163" s="1384"/>
      <c r="DA163" s="1384"/>
      <c r="DB163" s="1384"/>
      <c r="DC163" s="1384"/>
      <c r="DD163" s="1384"/>
      <c r="DE163" s="1384"/>
      <c r="DF163" s="1384"/>
      <c r="DG163" s="1384"/>
      <c r="DH163" s="1384"/>
      <c r="DI163" s="1384"/>
      <c r="DJ163" s="1384"/>
      <c r="DK163" s="1384"/>
      <c r="DL163" s="1384"/>
      <c r="DM163" s="1384"/>
      <c r="DN163" s="1384"/>
      <c r="DO163" s="1384"/>
      <c r="DP163" s="1384"/>
      <c r="DQ163" s="1384"/>
      <c r="DR163" s="1384"/>
      <c r="DS163" s="1384"/>
      <c r="DT163" s="1384"/>
      <c r="DU163" s="1384"/>
      <c r="DV163" s="1384"/>
      <c r="DW163" s="1384"/>
      <c r="DX163" s="1384"/>
      <c r="DY163" s="1384"/>
      <c r="DZ163" s="1384"/>
      <c r="EA163" s="1384"/>
      <c r="EB163" s="1384"/>
      <c r="EC163" s="1384"/>
      <c r="ED163" s="1384"/>
      <c r="EE163" s="1384"/>
      <c r="EF163" s="1384"/>
      <c r="EG163" s="1384"/>
      <c r="EH163" s="186"/>
      <c r="EI163" s="186"/>
      <c r="EJ163" s="186"/>
      <c r="EK163" s="186"/>
      <c r="EL163" s="186"/>
      <c r="EM163" s="186"/>
      <c r="EN163" s="186"/>
      <c r="EO163" s="186"/>
      <c r="EP163" s="186"/>
      <c r="EQ163" s="186"/>
      <c r="ER163" s="186"/>
      <c r="ES163" s="186"/>
      <c r="ET163" s="186"/>
      <c r="EU163" s="186"/>
      <c r="EV163" s="186"/>
      <c r="EW163" s="186"/>
      <c r="EX163" s="186"/>
      <c r="EY163" s="186"/>
      <c r="EZ163" s="186"/>
      <c r="FA163" s="186"/>
      <c r="FB163" s="186"/>
      <c r="FC163" s="186"/>
      <c r="FD163" s="186"/>
      <c r="FE163" s="186"/>
      <c r="FF163" s="186"/>
      <c r="FG163" s="186"/>
      <c r="FH163" s="186"/>
      <c r="FI163" s="182"/>
      <c r="FK163" s="180"/>
      <c r="FL163" s="182"/>
      <c r="FM163" s="182"/>
    </row>
    <row r="164" spans="1:178" ht="3" customHeight="1">
      <c r="A164" s="183"/>
      <c r="B164" s="181"/>
      <c r="C164" s="191"/>
      <c r="D164" s="183"/>
      <c r="E164" s="183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384"/>
      <c r="AG164" s="1384"/>
      <c r="AH164" s="1384"/>
      <c r="AI164" s="1384"/>
      <c r="AJ164" s="1384"/>
      <c r="AK164" s="1384"/>
      <c r="AL164" s="1384"/>
      <c r="AM164" s="1384"/>
      <c r="AN164" s="1384"/>
      <c r="AO164" s="1384"/>
      <c r="AP164" s="1384"/>
      <c r="AQ164" s="1384"/>
      <c r="AR164" s="1384"/>
      <c r="AS164" s="1384"/>
      <c r="AT164" s="1384"/>
      <c r="AU164" s="1384"/>
      <c r="AV164" s="1384"/>
      <c r="AW164" s="1384"/>
      <c r="AX164" s="1384"/>
      <c r="AY164" s="1384"/>
      <c r="AZ164" s="1384"/>
      <c r="BA164" s="1384"/>
      <c r="BB164" s="1384"/>
      <c r="BC164" s="1384"/>
      <c r="BD164" s="1384"/>
      <c r="BE164" s="1384"/>
      <c r="BF164" s="1384"/>
      <c r="BG164" s="1384"/>
      <c r="BH164" s="1384"/>
      <c r="BI164" s="1384"/>
      <c r="BJ164" s="1384"/>
      <c r="BK164" s="1384"/>
      <c r="BL164" s="1384"/>
      <c r="BM164" s="1384"/>
      <c r="BN164" s="1384"/>
      <c r="BO164" s="1384"/>
      <c r="BP164" s="1384"/>
      <c r="BQ164" s="1384"/>
      <c r="BR164" s="1384"/>
      <c r="BS164" s="1384"/>
      <c r="BT164" s="1384"/>
      <c r="BU164" s="1384"/>
      <c r="BV164" s="1384"/>
      <c r="BW164" s="1384"/>
      <c r="BX164" s="1384"/>
      <c r="BY164" s="1384"/>
      <c r="BZ164" s="1384"/>
      <c r="CA164" s="1384"/>
      <c r="CB164" s="1384"/>
      <c r="CC164" s="1384"/>
      <c r="CD164" s="1384"/>
      <c r="CE164" s="1384"/>
      <c r="CF164" s="1384"/>
      <c r="CG164" s="1384"/>
      <c r="CH164" s="1384"/>
      <c r="CI164" s="1384"/>
      <c r="CJ164" s="1384"/>
      <c r="CK164" s="1384"/>
      <c r="CL164" s="1384"/>
      <c r="CM164" s="1384"/>
      <c r="CN164" s="1384"/>
      <c r="CO164" s="1384"/>
      <c r="CP164" s="1384"/>
      <c r="CQ164" s="1384"/>
      <c r="CR164" s="1384"/>
      <c r="CS164" s="1384"/>
      <c r="CT164" s="1384"/>
      <c r="CU164" s="1384"/>
      <c r="CV164" s="1384"/>
      <c r="CW164" s="1384"/>
      <c r="CX164" s="1384"/>
      <c r="CY164" s="1384"/>
      <c r="CZ164" s="1384"/>
      <c r="DA164" s="1384"/>
      <c r="DB164" s="1384"/>
      <c r="DC164" s="1384"/>
      <c r="DD164" s="1384"/>
      <c r="DE164" s="1384"/>
      <c r="DF164" s="1384"/>
      <c r="DG164" s="1384"/>
      <c r="DH164" s="1384"/>
      <c r="DI164" s="1384"/>
      <c r="DJ164" s="1384"/>
      <c r="DK164" s="1384"/>
      <c r="DL164" s="1384"/>
      <c r="DM164" s="1384"/>
      <c r="DN164" s="1384"/>
      <c r="DO164" s="1384"/>
      <c r="DP164" s="1384"/>
      <c r="DQ164" s="1384"/>
      <c r="DR164" s="1384"/>
      <c r="DS164" s="1384"/>
      <c r="DT164" s="1384"/>
      <c r="DU164" s="1384"/>
      <c r="DV164" s="1384"/>
      <c r="DW164" s="1384"/>
      <c r="DX164" s="1384"/>
      <c r="DY164" s="1384"/>
      <c r="DZ164" s="1384"/>
      <c r="EA164" s="1384"/>
      <c r="EB164" s="1384"/>
      <c r="EC164" s="1384"/>
      <c r="ED164" s="1384"/>
      <c r="EE164" s="1384"/>
      <c r="EF164" s="1384"/>
      <c r="EG164" s="1384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2"/>
      <c r="FK164" s="183"/>
      <c r="FL164" s="190"/>
      <c r="FM164" s="182"/>
    </row>
    <row r="165" spans="1:178" ht="3" customHeight="1">
      <c r="A165" s="183"/>
      <c r="B165" s="179"/>
      <c r="D165" s="183"/>
      <c r="E165" s="183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384"/>
      <c r="AG165" s="1384"/>
      <c r="AH165" s="1384"/>
      <c r="AI165" s="1384"/>
      <c r="AJ165" s="1384"/>
      <c r="AK165" s="1384"/>
      <c r="AL165" s="1384"/>
      <c r="AM165" s="1384"/>
      <c r="AN165" s="1384"/>
      <c r="AO165" s="1384"/>
      <c r="AP165" s="1384"/>
      <c r="AQ165" s="1384"/>
      <c r="AR165" s="1384"/>
      <c r="AS165" s="1384"/>
      <c r="AT165" s="1384"/>
      <c r="AU165" s="1384"/>
      <c r="AV165" s="1384"/>
      <c r="AW165" s="1384"/>
      <c r="AX165" s="1384"/>
      <c r="AY165" s="1384"/>
      <c r="AZ165" s="1384"/>
      <c r="BA165" s="1384"/>
      <c r="BB165" s="1384"/>
      <c r="BC165" s="1384"/>
      <c r="BD165" s="1384"/>
      <c r="BE165" s="1384"/>
      <c r="BF165" s="1384"/>
      <c r="BG165" s="1384"/>
      <c r="BH165" s="1384"/>
      <c r="BI165" s="1384"/>
      <c r="BJ165" s="1384"/>
      <c r="BK165" s="1384"/>
      <c r="BL165" s="1384"/>
      <c r="BM165" s="1384"/>
      <c r="BN165" s="1384"/>
      <c r="BO165" s="1384"/>
      <c r="BP165" s="1384"/>
      <c r="BQ165" s="1384"/>
      <c r="BR165" s="1384"/>
      <c r="BS165" s="1384"/>
      <c r="BT165" s="1384"/>
      <c r="BU165" s="1384"/>
      <c r="BV165" s="1384"/>
      <c r="BW165" s="1384"/>
      <c r="BX165" s="1384"/>
      <c r="BY165" s="1384"/>
      <c r="BZ165" s="1384"/>
      <c r="CA165" s="1384"/>
      <c r="CB165" s="1384"/>
      <c r="CC165" s="1384"/>
      <c r="CD165" s="1384"/>
      <c r="CE165" s="1384"/>
      <c r="CF165" s="1384"/>
      <c r="CG165" s="1384"/>
      <c r="CH165" s="1384"/>
      <c r="CI165" s="1384"/>
      <c r="CJ165" s="1384"/>
      <c r="CK165" s="1384"/>
      <c r="CL165" s="1384"/>
      <c r="CM165" s="1384"/>
      <c r="CN165" s="1384"/>
      <c r="CO165" s="1384"/>
      <c r="CP165" s="1384"/>
      <c r="CQ165" s="1384"/>
      <c r="CR165" s="1384"/>
      <c r="CS165" s="1384"/>
      <c r="CT165" s="1384"/>
      <c r="CU165" s="1384"/>
      <c r="CV165" s="1384"/>
      <c r="CW165" s="1384"/>
      <c r="CX165" s="1384"/>
      <c r="CY165" s="1384"/>
      <c r="CZ165" s="1384"/>
      <c r="DA165" s="1384"/>
      <c r="DB165" s="1384"/>
      <c r="DC165" s="1384"/>
      <c r="DD165" s="1384"/>
      <c r="DE165" s="1384"/>
      <c r="DF165" s="1384"/>
      <c r="DG165" s="1384"/>
      <c r="DH165" s="1384"/>
      <c r="DI165" s="1384"/>
      <c r="DJ165" s="1384"/>
      <c r="DK165" s="1384"/>
      <c r="DL165" s="1384"/>
      <c r="DM165" s="1384"/>
      <c r="DN165" s="1384"/>
      <c r="DO165" s="1384"/>
      <c r="DP165" s="1384"/>
      <c r="DQ165" s="1384"/>
      <c r="DR165" s="1384"/>
      <c r="DS165" s="1384"/>
      <c r="DT165" s="1384"/>
      <c r="DU165" s="1384"/>
      <c r="DV165" s="1384"/>
      <c r="DW165" s="1384"/>
      <c r="DX165" s="1384"/>
      <c r="DY165" s="1384"/>
      <c r="DZ165" s="1384"/>
      <c r="EA165" s="1384"/>
      <c r="EB165" s="1384"/>
      <c r="EC165" s="1384"/>
      <c r="ED165" s="1384"/>
      <c r="EE165" s="1384"/>
      <c r="EF165" s="1384"/>
      <c r="EG165" s="1384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2"/>
      <c r="FK165" s="183"/>
      <c r="FL165" s="180"/>
      <c r="FM165" s="182"/>
    </row>
    <row r="166" spans="1:178" ht="3" customHeight="1">
      <c r="A166" s="183"/>
      <c r="B166" s="191"/>
      <c r="C166" s="190"/>
      <c r="D166" s="183"/>
      <c r="E166" s="183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384"/>
      <c r="AG166" s="1384"/>
      <c r="AH166" s="1384"/>
      <c r="AI166" s="1384"/>
      <c r="AJ166" s="1384"/>
      <c r="AK166" s="1384"/>
      <c r="AL166" s="1384"/>
      <c r="AM166" s="1384"/>
      <c r="AN166" s="1384"/>
      <c r="AO166" s="1384"/>
      <c r="AP166" s="1384"/>
      <c r="AQ166" s="1384"/>
      <c r="AR166" s="1384"/>
      <c r="AS166" s="1384"/>
      <c r="AT166" s="1384"/>
      <c r="AU166" s="1384"/>
      <c r="AV166" s="1384"/>
      <c r="AW166" s="1384"/>
      <c r="AX166" s="1384"/>
      <c r="AY166" s="1384"/>
      <c r="AZ166" s="1384"/>
      <c r="BA166" s="1384"/>
      <c r="BB166" s="1384"/>
      <c r="BC166" s="1384"/>
      <c r="BD166" s="1384"/>
      <c r="BE166" s="1384"/>
      <c r="BF166" s="1384"/>
      <c r="BG166" s="1384"/>
      <c r="BH166" s="1384"/>
      <c r="BI166" s="1384"/>
      <c r="BJ166" s="1384"/>
      <c r="BK166" s="1384"/>
      <c r="BL166" s="1384"/>
      <c r="BM166" s="1384"/>
      <c r="BN166" s="1384"/>
      <c r="BO166" s="1384"/>
      <c r="BP166" s="1384"/>
      <c r="BQ166" s="1384"/>
      <c r="BR166" s="1384"/>
      <c r="BS166" s="1384"/>
      <c r="BT166" s="1384"/>
      <c r="BU166" s="1384"/>
      <c r="BV166" s="1384"/>
      <c r="BW166" s="1384"/>
      <c r="BX166" s="1384"/>
      <c r="BY166" s="1384"/>
      <c r="BZ166" s="1384"/>
      <c r="CA166" s="1384"/>
      <c r="CB166" s="1384"/>
      <c r="CC166" s="1384"/>
      <c r="CD166" s="1384"/>
      <c r="CE166" s="1384"/>
      <c r="CF166" s="1384"/>
      <c r="CG166" s="1384"/>
      <c r="CH166" s="1384"/>
      <c r="CI166" s="1384"/>
      <c r="CJ166" s="1384"/>
      <c r="CK166" s="1384"/>
      <c r="CL166" s="1384"/>
      <c r="CM166" s="1384"/>
      <c r="CN166" s="1384"/>
      <c r="CO166" s="1384"/>
      <c r="CP166" s="1384"/>
      <c r="CQ166" s="1384"/>
      <c r="CR166" s="1384"/>
      <c r="CS166" s="1384"/>
      <c r="CT166" s="1384"/>
      <c r="CU166" s="1384"/>
      <c r="CV166" s="1384"/>
      <c r="CW166" s="1384"/>
      <c r="CX166" s="1384"/>
      <c r="CY166" s="1384"/>
      <c r="CZ166" s="1384"/>
      <c r="DA166" s="1384"/>
      <c r="DB166" s="1384"/>
      <c r="DC166" s="1384"/>
      <c r="DD166" s="1384"/>
      <c r="DE166" s="1384"/>
      <c r="DF166" s="1384"/>
      <c r="DG166" s="1384"/>
      <c r="DH166" s="1384"/>
      <c r="DI166" s="1384"/>
      <c r="DJ166" s="1384"/>
      <c r="DK166" s="1384"/>
      <c r="DL166" s="1384"/>
      <c r="DM166" s="1384"/>
      <c r="DN166" s="1384"/>
      <c r="DO166" s="1384"/>
      <c r="DP166" s="1384"/>
      <c r="DQ166" s="1384"/>
      <c r="DR166" s="1384"/>
      <c r="DS166" s="1384"/>
      <c r="DT166" s="1384"/>
      <c r="DU166" s="1384"/>
      <c r="DV166" s="1384"/>
      <c r="DW166" s="1384"/>
      <c r="DX166" s="1384"/>
      <c r="DY166" s="1384"/>
      <c r="DZ166" s="1384"/>
      <c r="EA166" s="1384"/>
      <c r="EB166" s="1384"/>
      <c r="EC166" s="1384"/>
      <c r="ED166" s="1384"/>
      <c r="EE166" s="1384"/>
      <c r="EF166" s="1384"/>
      <c r="EG166" s="1384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2"/>
      <c r="FK166" s="190"/>
      <c r="FL166" s="182"/>
      <c r="FM166" s="182"/>
    </row>
    <row r="167" spans="1:178" ht="3" customHeight="1">
      <c r="A167" s="183"/>
      <c r="B167" s="183"/>
      <c r="C167" s="179"/>
      <c r="E167" s="183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2"/>
      <c r="FK167" s="180"/>
      <c r="FL167" s="182"/>
      <c r="FM167" s="182"/>
    </row>
    <row r="168" spans="1:178" ht="3" customHeight="1">
      <c r="A168" s="183"/>
      <c r="B168" s="190"/>
      <c r="C168" s="183"/>
      <c r="D168" s="183"/>
      <c r="E168" s="183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2"/>
      <c r="FK168" s="183"/>
      <c r="FL168" s="190"/>
      <c r="FM168" s="182"/>
    </row>
    <row r="169" spans="1:178" ht="3" customHeight="1">
      <c r="A169" s="183"/>
      <c r="B169" s="179"/>
      <c r="D169" s="183"/>
      <c r="E169" s="183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2"/>
      <c r="FK169" s="183"/>
      <c r="FL169" s="180"/>
      <c r="FM169" s="182"/>
    </row>
    <row r="170" spans="1:178" ht="3" customHeight="1">
      <c r="A170" s="183"/>
      <c r="B170" s="191"/>
      <c r="C170" s="190"/>
      <c r="D170" s="183"/>
      <c r="E170" s="183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2"/>
      <c r="FK170" s="190"/>
      <c r="FL170" s="182"/>
      <c r="FM170" s="182"/>
      <c r="FV170" s="177" t="s">
        <v>210</v>
      </c>
    </row>
    <row r="171" spans="1:178" ht="3" customHeight="1">
      <c r="A171" s="183"/>
      <c r="B171" s="183"/>
      <c r="C171" s="179"/>
      <c r="E171" s="183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2"/>
      <c r="FK171" s="180"/>
      <c r="FL171" s="182"/>
      <c r="FM171" s="182"/>
    </row>
    <row r="172" spans="1:178" ht="3" customHeight="1">
      <c r="A172" s="183"/>
      <c r="B172" s="181"/>
      <c r="C172" s="191"/>
      <c r="D172" s="183"/>
      <c r="E172" s="183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2"/>
      <c r="FK172" s="183"/>
      <c r="FL172" s="190"/>
      <c r="FM172" s="182"/>
    </row>
    <row r="173" spans="1:178" ht="3" customHeight="1">
      <c r="A173" s="183"/>
      <c r="B173" s="179"/>
      <c r="D173" s="183"/>
      <c r="E173" s="183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2"/>
      <c r="FK173" s="183"/>
      <c r="FL173" s="180"/>
      <c r="FM173" s="182"/>
    </row>
    <row r="174" spans="1:178" ht="3" customHeight="1">
      <c r="A174" s="183"/>
      <c r="B174" s="191"/>
      <c r="C174" s="190"/>
      <c r="D174" s="183"/>
      <c r="E174" s="183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2"/>
      <c r="FK174" s="190"/>
      <c r="FL174" s="182"/>
      <c r="FM174" s="182"/>
    </row>
    <row r="175" spans="1:178" ht="3" customHeight="1">
      <c r="A175" s="183"/>
      <c r="B175" s="183"/>
      <c r="C175" s="179"/>
      <c r="E175" s="183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2"/>
      <c r="FK175" s="180"/>
      <c r="FL175" s="182"/>
      <c r="FM175" s="182"/>
    </row>
    <row r="176" spans="1:178" ht="3" customHeight="1">
      <c r="A176" s="183"/>
      <c r="B176" s="190"/>
      <c r="C176" s="183"/>
      <c r="D176" s="183"/>
      <c r="E176" s="183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2"/>
      <c r="FK176" s="183"/>
      <c r="FL176" s="190"/>
      <c r="FM176" s="182"/>
    </row>
    <row r="177" spans="1:169" ht="3" customHeight="1">
      <c r="A177" s="183"/>
      <c r="B177" s="179"/>
      <c r="D177" s="183"/>
      <c r="E177" s="183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2"/>
      <c r="FK177" s="183"/>
      <c r="FL177" s="180"/>
      <c r="FM177" s="182"/>
    </row>
    <row r="178" spans="1:169" ht="3" customHeight="1">
      <c r="A178" s="183"/>
      <c r="B178" s="191"/>
      <c r="C178" s="190"/>
      <c r="D178" s="183"/>
      <c r="E178" s="183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2"/>
      <c r="FK178" s="190"/>
      <c r="FL178" s="182"/>
      <c r="FM178" s="182"/>
    </row>
    <row r="179" spans="1:169" ht="3" customHeight="1">
      <c r="A179" s="183"/>
      <c r="B179" s="183"/>
      <c r="C179" s="179"/>
      <c r="E179" s="183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2"/>
      <c r="FK179" s="180"/>
      <c r="FL179" s="182"/>
      <c r="FM179" s="182"/>
    </row>
    <row r="180" spans="1:169" ht="3" customHeight="1">
      <c r="A180" s="183"/>
      <c r="B180" s="181"/>
      <c r="C180" s="191"/>
      <c r="D180" s="183"/>
      <c r="E180" s="183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2"/>
      <c r="FK180" s="183"/>
      <c r="FL180" s="190"/>
      <c r="FM180" s="182"/>
    </row>
    <row r="181" spans="1:169" ht="3" customHeight="1">
      <c r="A181" s="183"/>
      <c r="B181" s="179"/>
      <c r="D181" s="183"/>
      <c r="E181" s="183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2"/>
      <c r="FK181" s="183"/>
      <c r="FL181" s="180"/>
      <c r="FM181" s="182"/>
    </row>
    <row r="182" spans="1:169" ht="3" customHeight="1">
      <c r="A182" s="183"/>
      <c r="B182" s="191"/>
      <c r="C182" s="190"/>
      <c r="D182" s="183"/>
      <c r="E182" s="183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2"/>
      <c r="FK182" s="190"/>
      <c r="FL182" s="182"/>
      <c r="FM182" s="182"/>
    </row>
    <row r="183" spans="1:169" ht="3" customHeight="1">
      <c r="A183" s="183"/>
      <c r="B183" s="183"/>
      <c r="C183" s="179"/>
      <c r="E183" s="183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2"/>
      <c r="FK183" s="180"/>
      <c r="FL183" s="182"/>
      <c r="FM183" s="182"/>
    </row>
    <row r="184" spans="1:169" ht="3" customHeight="1">
      <c r="A184" s="183"/>
      <c r="B184" s="190"/>
      <c r="C184" s="183"/>
      <c r="D184" s="183"/>
      <c r="E184" s="183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2"/>
      <c r="FK184" s="183"/>
      <c r="FL184" s="190"/>
      <c r="FM184" s="182"/>
    </row>
    <row r="185" spans="1:169" ht="3" customHeight="1">
      <c r="A185" s="183"/>
      <c r="B185" s="179"/>
      <c r="D185" s="183"/>
      <c r="E185" s="183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2"/>
      <c r="FK185" s="183"/>
      <c r="FL185" s="180"/>
      <c r="FM185" s="182"/>
    </row>
    <row r="186" spans="1:169" ht="3" customHeight="1">
      <c r="A186" s="183"/>
      <c r="B186" s="191"/>
      <c r="C186" s="190"/>
      <c r="D186" s="183"/>
      <c r="E186" s="183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2"/>
      <c r="FK186" s="190"/>
      <c r="FM186" s="185"/>
    </row>
    <row r="187" spans="1:169" ht="3" customHeight="1">
      <c r="A187" s="183"/>
      <c r="B187" s="183"/>
      <c r="C187" s="179"/>
      <c r="E187" s="183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2"/>
      <c r="FK187" s="180"/>
      <c r="FM187" s="185"/>
    </row>
    <row r="188" spans="1:169" ht="3" customHeight="1">
      <c r="A188" s="183"/>
      <c r="B188" s="181"/>
      <c r="C188" s="191"/>
      <c r="D188" s="183"/>
      <c r="E188" s="183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2"/>
      <c r="FK188" s="183"/>
      <c r="FL188" s="181"/>
      <c r="FM188" s="185"/>
    </row>
    <row r="189" spans="1:169" ht="3" customHeight="1">
      <c r="A189" s="183"/>
      <c r="B189" s="179"/>
      <c r="D189" s="183"/>
      <c r="E189" s="183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2"/>
      <c r="FK189" s="183"/>
      <c r="FL189" s="180"/>
      <c r="FM189" s="182"/>
    </row>
    <row r="190" spans="1:169" ht="3" customHeight="1">
      <c r="A190" s="183"/>
      <c r="B190" s="191"/>
      <c r="C190" s="190"/>
      <c r="D190" s="183"/>
      <c r="E190" s="183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2"/>
      <c r="FK190" s="190"/>
      <c r="FM190" s="185"/>
    </row>
    <row r="191" spans="1:169" ht="3" customHeight="1">
      <c r="A191" s="183"/>
      <c r="B191" s="183"/>
      <c r="C191" s="179"/>
      <c r="E191" s="183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2"/>
      <c r="FK191" s="180"/>
      <c r="FM191" s="185"/>
    </row>
    <row r="192" spans="1:169" ht="3" customHeight="1">
      <c r="A192" s="183"/>
      <c r="B192" s="190"/>
      <c r="C192" s="183"/>
      <c r="D192" s="183"/>
      <c r="E192" s="183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2"/>
      <c r="FK192" s="183"/>
      <c r="FL192" s="181"/>
      <c r="FM192" s="185"/>
    </row>
    <row r="193" spans="1:169" ht="3" customHeight="1">
      <c r="A193" s="183"/>
      <c r="B193" s="179"/>
      <c r="D193" s="183"/>
      <c r="E193" s="183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2"/>
      <c r="FK193" s="183"/>
      <c r="FL193" s="180"/>
      <c r="FM193" s="182"/>
    </row>
    <row r="194" spans="1:169" ht="3" customHeight="1">
      <c r="A194" s="183"/>
      <c r="B194" s="191"/>
      <c r="C194" s="190"/>
      <c r="D194" s="183"/>
      <c r="E194" s="183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2"/>
      <c r="FK194" s="190"/>
      <c r="FM194" s="185"/>
    </row>
    <row r="195" spans="1:169" ht="3" customHeight="1">
      <c r="A195" s="183"/>
      <c r="B195" s="183"/>
      <c r="C195" s="179"/>
      <c r="E195" s="183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2"/>
      <c r="FK195" s="180"/>
      <c r="FM195" s="185"/>
    </row>
    <row r="196" spans="1:169" ht="3" customHeight="1">
      <c r="A196" s="183"/>
      <c r="B196" s="181"/>
      <c r="C196" s="191"/>
      <c r="D196" s="183"/>
      <c r="E196" s="183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2"/>
      <c r="FK196" s="183"/>
      <c r="FL196" s="190"/>
      <c r="FM196" s="185"/>
    </row>
    <row r="197" spans="1:169" ht="3" customHeight="1">
      <c r="A197" s="183"/>
      <c r="B197" s="179"/>
      <c r="D197" s="183"/>
      <c r="E197" s="183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2"/>
      <c r="FK197" s="183"/>
      <c r="FL197" s="180"/>
      <c r="FM197" s="182"/>
    </row>
    <row r="198" spans="1:169" ht="3" customHeight="1">
      <c r="A198" s="183"/>
      <c r="B198" s="191"/>
      <c r="C198" s="190"/>
      <c r="D198" s="183"/>
      <c r="E198" s="183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2"/>
      <c r="FK198" s="190"/>
      <c r="FM198" s="185"/>
    </row>
    <row r="199" spans="1:169" ht="3" customHeight="1">
      <c r="A199" s="183"/>
      <c r="B199" s="183"/>
      <c r="C199" s="179"/>
      <c r="E199" s="183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2"/>
      <c r="FK199" s="180"/>
      <c r="FM199" s="185"/>
    </row>
    <row r="200" spans="1:169" ht="3" customHeight="1">
      <c r="A200" s="183"/>
      <c r="B200" s="190"/>
      <c r="C200" s="183"/>
      <c r="D200" s="183"/>
      <c r="E200" s="183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2"/>
      <c r="FK200" s="183"/>
      <c r="FL200" s="181"/>
      <c r="FM200" s="185"/>
    </row>
    <row r="201" spans="1:169" ht="3" customHeight="1">
      <c r="A201" s="183"/>
      <c r="B201" s="179"/>
      <c r="D201" s="183"/>
      <c r="E201" s="183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2"/>
      <c r="FK201" s="183"/>
      <c r="FL201" s="180"/>
      <c r="FM201" s="182"/>
    </row>
    <row r="202" spans="1:169" ht="3" customHeight="1">
      <c r="A202" s="183"/>
      <c r="B202" s="191"/>
      <c r="C202" s="190"/>
      <c r="D202" s="183"/>
      <c r="E202" s="183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186"/>
      <c r="AI202" s="186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  <c r="DO202" s="186"/>
      <c r="DP202" s="186"/>
      <c r="DQ202" s="186"/>
      <c r="DR202" s="186"/>
      <c r="DS202" s="186"/>
      <c r="DT202" s="186"/>
      <c r="DU202" s="186"/>
      <c r="DV202" s="186"/>
      <c r="DW202" s="186"/>
      <c r="DX202" s="186"/>
      <c r="DY202" s="186"/>
      <c r="DZ202" s="186"/>
      <c r="EA202" s="186"/>
      <c r="EB202" s="186"/>
      <c r="EC202" s="186"/>
      <c r="ED202" s="186"/>
      <c r="EE202" s="186"/>
      <c r="EF202" s="186"/>
      <c r="EG202" s="186"/>
      <c r="EH202" s="186"/>
      <c r="EI202" s="186"/>
      <c r="EJ202" s="186"/>
      <c r="EK202" s="186"/>
      <c r="EL202" s="186"/>
      <c r="EM202" s="186"/>
      <c r="EN202" s="186"/>
      <c r="EO202" s="186"/>
      <c r="EP202" s="186"/>
      <c r="EQ202" s="186"/>
      <c r="ER202" s="186"/>
      <c r="ES202" s="186"/>
      <c r="ET202" s="186"/>
      <c r="EU202" s="186"/>
      <c r="EV202" s="186"/>
      <c r="EW202" s="186"/>
      <c r="EX202" s="186"/>
      <c r="EY202" s="186"/>
      <c r="EZ202" s="186"/>
      <c r="FA202" s="186"/>
      <c r="FB202" s="186"/>
      <c r="FC202" s="186"/>
      <c r="FD202" s="186"/>
      <c r="FE202" s="186"/>
      <c r="FF202" s="186"/>
      <c r="FG202" s="186"/>
      <c r="FH202" s="186"/>
      <c r="FI202" s="182"/>
      <c r="FK202" s="190"/>
      <c r="FM202" s="185"/>
    </row>
    <row r="203" spans="1:169" ht="3" customHeight="1">
      <c r="A203" s="183"/>
      <c r="B203" s="183"/>
      <c r="C203" s="179"/>
      <c r="E203" s="183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2"/>
      <c r="FK203" s="180"/>
      <c r="FM203" s="185"/>
    </row>
    <row r="204" spans="1:169" ht="3" customHeight="1">
      <c r="A204" s="183"/>
      <c r="B204" s="181"/>
      <c r="C204" s="191"/>
      <c r="D204" s="183"/>
      <c r="E204" s="183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2"/>
      <c r="FK204" s="183"/>
      <c r="FL204" s="181"/>
      <c r="FM204" s="185"/>
    </row>
    <row r="205" spans="1:169" ht="3" customHeight="1">
      <c r="A205" s="183"/>
      <c r="B205" s="179"/>
      <c r="D205" s="183"/>
      <c r="E205" s="183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2"/>
      <c r="FK205" s="183"/>
      <c r="FL205" s="180"/>
      <c r="FM205" s="182"/>
    </row>
    <row r="206" spans="1:169" ht="3" customHeight="1">
      <c r="A206" s="183"/>
      <c r="B206" s="191"/>
      <c r="C206" s="190"/>
      <c r="D206" s="183"/>
      <c r="E206" s="183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2"/>
      <c r="FK206" s="190"/>
      <c r="FM206" s="185"/>
    </row>
    <row r="207" spans="1:169" ht="3" customHeight="1">
      <c r="A207" s="183"/>
      <c r="B207" s="183"/>
      <c r="C207" s="179"/>
      <c r="E207" s="183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2"/>
      <c r="FK207" s="180"/>
      <c r="FM207" s="185"/>
    </row>
    <row r="208" spans="1:169" ht="3" customHeight="1">
      <c r="A208" s="183"/>
      <c r="B208" s="190"/>
      <c r="C208" s="183"/>
      <c r="D208" s="183"/>
      <c r="E208" s="183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6"/>
      <c r="BW208" s="186"/>
      <c r="BX208" s="186"/>
      <c r="BY208" s="186"/>
      <c r="BZ208" s="186"/>
      <c r="CA208" s="186"/>
      <c r="CB208" s="186"/>
      <c r="CC208" s="186"/>
      <c r="CD208" s="186"/>
      <c r="CE208" s="186"/>
      <c r="CF208" s="186"/>
      <c r="CG208" s="186"/>
      <c r="CH208" s="186"/>
      <c r="CI208" s="186"/>
      <c r="CJ208" s="186"/>
      <c r="CK208" s="186"/>
      <c r="CL208" s="186"/>
      <c r="CM208" s="186"/>
      <c r="CN208" s="186"/>
      <c r="CO208" s="186"/>
      <c r="CP208" s="186"/>
      <c r="CQ208" s="186"/>
      <c r="CR208" s="186"/>
      <c r="CS208" s="186"/>
      <c r="CT208" s="186"/>
      <c r="CU208" s="186"/>
      <c r="CV208" s="186"/>
      <c r="CW208" s="186"/>
      <c r="CX208" s="186"/>
      <c r="CY208" s="186"/>
      <c r="CZ208" s="186"/>
      <c r="DA208" s="186"/>
      <c r="DB208" s="186"/>
      <c r="DC208" s="186"/>
      <c r="DD208" s="186"/>
      <c r="DE208" s="186"/>
      <c r="DF208" s="186"/>
      <c r="DG208" s="186"/>
      <c r="DH208" s="186"/>
      <c r="DI208" s="186"/>
      <c r="DJ208" s="186"/>
      <c r="DK208" s="186"/>
      <c r="DL208" s="186"/>
      <c r="DM208" s="186"/>
      <c r="DN208" s="186"/>
      <c r="DO208" s="186"/>
      <c r="DP208" s="186"/>
      <c r="DQ208" s="186"/>
      <c r="DR208" s="186"/>
      <c r="DS208" s="186"/>
      <c r="DT208" s="186"/>
      <c r="DU208" s="186"/>
      <c r="DV208" s="186"/>
      <c r="DW208" s="186"/>
      <c r="DX208" s="186"/>
      <c r="DY208" s="186"/>
      <c r="DZ208" s="186"/>
      <c r="EA208" s="186"/>
      <c r="EB208" s="186"/>
      <c r="EC208" s="186"/>
      <c r="ED208" s="186"/>
      <c r="EE208" s="186"/>
      <c r="EF208" s="186"/>
      <c r="EG208" s="186"/>
      <c r="EH208" s="186"/>
      <c r="EI208" s="186"/>
      <c r="EJ208" s="186"/>
      <c r="EK208" s="186"/>
      <c r="EL208" s="186"/>
      <c r="EM208" s="186"/>
      <c r="EN208" s="186"/>
      <c r="EO208" s="186"/>
      <c r="EP208" s="186"/>
      <c r="EQ208" s="186"/>
      <c r="ER208" s="186"/>
      <c r="ES208" s="186"/>
      <c r="ET208" s="186"/>
      <c r="EU208" s="186"/>
      <c r="EV208" s="186"/>
      <c r="EW208" s="186"/>
      <c r="EX208" s="186"/>
      <c r="EY208" s="186"/>
      <c r="EZ208" s="186"/>
      <c r="FA208" s="186"/>
      <c r="FB208" s="186"/>
      <c r="FC208" s="186"/>
      <c r="FD208" s="186"/>
      <c r="FE208" s="186"/>
      <c r="FF208" s="186"/>
      <c r="FG208" s="186"/>
      <c r="FH208" s="186"/>
      <c r="FI208" s="182"/>
      <c r="FK208" s="183"/>
      <c r="FL208" s="181"/>
      <c r="FM208" s="185"/>
    </row>
    <row r="209" spans="1:169" ht="3" customHeight="1">
      <c r="A209" s="183"/>
      <c r="B209" s="179"/>
      <c r="D209" s="183"/>
      <c r="E209" s="183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2"/>
      <c r="FK209" s="183"/>
      <c r="FL209" s="180"/>
      <c r="FM209" s="182"/>
    </row>
    <row r="210" spans="1:169" ht="3" customHeight="1">
      <c r="A210" s="183"/>
      <c r="B210" s="191"/>
      <c r="C210" s="190"/>
      <c r="D210" s="183"/>
      <c r="E210" s="183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2"/>
      <c r="FK210" s="181"/>
      <c r="FL210" s="189"/>
      <c r="FM210" s="185"/>
    </row>
    <row r="211" spans="1:169" ht="3" customHeight="1">
      <c r="A211" s="183"/>
      <c r="B211" s="183"/>
      <c r="C211" s="179"/>
      <c r="E211" s="183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2"/>
      <c r="FK211" s="180"/>
      <c r="FM211" s="185"/>
    </row>
    <row r="212" spans="1:169" ht="3" customHeight="1">
      <c r="A212" s="183"/>
      <c r="B212" s="181"/>
      <c r="C212" s="191"/>
      <c r="D212" s="183"/>
      <c r="E212" s="183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2"/>
      <c r="FK212" s="183"/>
      <c r="FL212" s="181"/>
      <c r="FM212" s="185"/>
    </row>
    <row r="213" spans="1:169" ht="3" customHeight="1">
      <c r="A213" s="183"/>
      <c r="B213" s="179"/>
      <c r="D213" s="183"/>
      <c r="E213" s="183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2"/>
      <c r="FK213" s="183"/>
      <c r="FL213" s="180"/>
      <c r="FM213" s="182"/>
    </row>
    <row r="214" spans="1:169" ht="3" customHeight="1">
      <c r="A214" s="183"/>
      <c r="B214" s="191"/>
      <c r="C214" s="190"/>
      <c r="D214" s="183"/>
      <c r="E214" s="183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2"/>
      <c r="FK214" s="181"/>
      <c r="FL214" s="189"/>
      <c r="FM214" s="185"/>
    </row>
    <row r="215" spans="1:169" ht="3" customHeight="1">
      <c r="A215" s="183"/>
      <c r="B215" s="183"/>
      <c r="C215" s="179"/>
      <c r="E215" s="183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2"/>
      <c r="FK215" s="180"/>
      <c r="FM215" s="185"/>
    </row>
    <row r="216" spans="1:169" ht="3" customHeight="1">
      <c r="A216" s="183"/>
      <c r="B216" s="190"/>
      <c r="C216" s="183"/>
      <c r="D216" s="183"/>
      <c r="E216" s="183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2"/>
      <c r="FK216" s="183"/>
      <c r="FL216" s="181"/>
      <c r="FM216" s="185"/>
    </row>
    <row r="217" spans="1:169" ht="3" customHeight="1">
      <c r="A217" s="183"/>
      <c r="B217" s="179"/>
      <c r="D217" s="183"/>
      <c r="E217" s="183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2"/>
      <c r="FK217" s="183"/>
      <c r="FL217" s="180"/>
      <c r="FM217" s="182"/>
    </row>
    <row r="218" spans="1:169" ht="3" customHeight="1">
      <c r="A218" s="183"/>
      <c r="B218" s="191"/>
      <c r="C218" s="190"/>
      <c r="D218" s="183"/>
      <c r="E218" s="183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2"/>
      <c r="FK218" s="181"/>
      <c r="FL218" s="185"/>
      <c r="FM218" s="185"/>
    </row>
    <row r="219" spans="1:169" ht="3" customHeight="1">
      <c r="A219" s="183"/>
      <c r="B219" s="183"/>
      <c r="C219" s="179"/>
      <c r="E219" s="183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2"/>
      <c r="FK219" s="180"/>
      <c r="FL219" s="182"/>
      <c r="FM219" s="182"/>
    </row>
    <row r="220" spans="1:169" ht="3" customHeight="1">
      <c r="A220" s="183"/>
      <c r="B220" s="181"/>
      <c r="C220" s="191"/>
      <c r="D220" s="183"/>
      <c r="E220" s="183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2"/>
      <c r="FK220" s="183"/>
      <c r="FL220" s="190"/>
      <c r="FM220" s="182"/>
    </row>
    <row r="221" spans="1:169" ht="3" customHeight="1">
      <c r="A221" s="183"/>
      <c r="B221" s="179"/>
      <c r="D221" s="183"/>
      <c r="E221" s="183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2"/>
      <c r="FK221" s="183"/>
      <c r="FL221" s="180"/>
      <c r="FM221" s="182"/>
    </row>
    <row r="222" spans="1:169" ht="3" customHeight="1">
      <c r="A222" s="183"/>
      <c r="B222" s="191"/>
      <c r="C222" s="190"/>
      <c r="D222" s="183"/>
      <c r="E222" s="183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2"/>
      <c r="FK222" s="190"/>
      <c r="FL222" s="182"/>
      <c r="FM222" s="182"/>
    </row>
    <row r="223" spans="1:169" ht="3" customHeight="1">
      <c r="A223" s="183"/>
      <c r="B223" s="183"/>
      <c r="C223" s="179"/>
      <c r="E223" s="183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2"/>
      <c r="FK223" s="180"/>
      <c r="FL223" s="182"/>
      <c r="FM223" s="182"/>
    </row>
    <row r="224" spans="1:169" ht="3" customHeight="1">
      <c r="A224" s="183"/>
      <c r="B224" s="190"/>
      <c r="C224" s="183"/>
      <c r="D224" s="183"/>
      <c r="E224" s="183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2"/>
      <c r="FK224" s="183"/>
      <c r="FL224" s="190"/>
      <c r="FM224" s="182"/>
    </row>
    <row r="225" spans="1:169" ht="3" customHeight="1">
      <c r="A225" s="183"/>
      <c r="B225" s="179"/>
      <c r="D225" s="183"/>
      <c r="E225" s="183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2"/>
      <c r="FK225" s="183"/>
      <c r="FL225" s="180"/>
      <c r="FM225" s="182"/>
    </row>
    <row r="226" spans="1:169" ht="3" customHeight="1">
      <c r="A226" s="183"/>
      <c r="B226" s="191"/>
      <c r="C226" s="190"/>
      <c r="D226" s="183"/>
      <c r="E226" s="183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2"/>
      <c r="FK226" s="190"/>
      <c r="FM226" s="185"/>
    </row>
    <row r="227" spans="1:169" ht="3" customHeight="1">
      <c r="A227" s="183"/>
      <c r="B227" s="183"/>
      <c r="C227" s="179"/>
      <c r="E227" s="183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2"/>
      <c r="FK227" s="180"/>
      <c r="FM227" s="185"/>
    </row>
    <row r="228" spans="1:169" ht="3" customHeight="1">
      <c r="A228" s="183"/>
      <c r="B228" s="181"/>
      <c r="C228" s="191"/>
      <c r="D228" s="183"/>
      <c r="E228" s="183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2"/>
      <c r="FK228" s="183"/>
      <c r="FL228" s="190"/>
      <c r="FM228" s="185"/>
    </row>
    <row r="229" spans="1:169" ht="3" customHeight="1">
      <c r="A229" s="183"/>
      <c r="B229" s="179"/>
      <c r="D229" s="183"/>
      <c r="E229" s="183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2"/>
      <c r="FK229" s="183"/>
      <c r="FL229" s="180"/>
      <c r="FM229" s="182"/>
    </row>
    <row r="230" spans="1:169" ht="3" customHeight="1">
      <c r="A230" s="183"/>
      <c r="B230" s="191"/>
      <c r="C230" s="190"/>
      <c r="D230" s="183"/>
      <c r="E230" s="183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2"/>
      <c r="FK230" s="190"/>
      <c r="FL230" s="183"/>
      <c r="FM230" s="185"/>
    </row>
    <row r="231" spans="1:169" ht="3" customHeight="1">
      <c r="A231" s="183"/>
      <c r="B231" s="183"/>
      <c r="C231" s="179"/>
      <c r="E231" s="183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186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6"/>
      <c r="BW231" s="186"/>
      <c r="BX231" s="186"/>
      <c r="BY231" s="186"/>
      <c r="BZ231" s="186"/>
      <c r="CA231" s="186"/>
      <c r="CB231" s="186"/>
      <c r="CC231" s="186"/>
      <c r="CD231" s="186"/>
      <c r="CE231" s="186"/>
      <c r="CF231" s="186"/>
      <c r="CG231" s="186"/>
      <c r="CH231" s="186"/>
      <c r="CI231" s="186"/>
      <c r="CJ231" s="186"/>
      <c r="CK231" s="186"/>
      <c r="CL231" s="186"/>
      <c r="CM231" s="186"/>
      <c r="CN231" s="186"/>
      <c r="CO231" s="186"/>
      <c r="CP231" s="186"/>
      <c r="CQ231" s="186"/>
      <c r="CR231" s="186"/>
      <c r="CS231" s="186"/>
      <c r="CT231" s="186"/>
      <c r="CU231" s="186"/>
      <c r="CV231" s="186"/>
      <c r="CW231" s="186"/>
      <c r="CX231" s="186"/>
      <c r="CY231" s="186"/>
      <c r="CZ231" s="186"/>
      <c r="DA231" s="186"/>
      <c r="DB231" s="186"/>
      <c r="DC231" s="186"/>
      <c r="DD231" s="186"/>
      <c r="DE231" s="186"/>
      <c r="DF231" s="186"/>
      <c r="DG231" s="186"/>
      <c r="DH231" s="186"/>
      <c r="DI231" s="186"/>
      <c r="DJ231" s="186"/>
      <c r="DK231" s="186"/>
      <c r="DL231" s="186"/>
      <c r="DM231" s="186"/>
      <c r="DN231" s="186"/>
      <c r="DO231" s="186"/>
      <c r="DP231" s="186"/>
      <c r="DQ231" s="186"/>
      <c r="DR231" s="186"/>
      <c r="DS231" s="186"/>
      <c r="DT231" s="186"/>
      <c r="DU231" s="186"/>
      <c r="DV231" s="186"/>
      <c r="DW231" s="186"/>
      <c r="DX231" s="186"/>
      <c r="DY231" s="186"/>
      <c r="DZ231" s="186"/>
      <c r="EA231" s="186"/>
      <c r="EB231" s="186"/>
      <c r="EC231" s="186"/>
      <c r="ED231" s="186"/>
      <c r="EE231" s="186"/>
      <c r="EF231" s="186"/>
      <c r="EG231" s="186"/>
      <c r="EH231" s="186"/>
      <c r="EI231" s="186"/>
      <c r="EJ231" s="186"/>
      <c r="EK231" s="186"/>
      <c r="EL231" s="186"/>
      <c r="EM231" s="186"/>
      <c r="EN231" s="186"/>
      <c r="EO231" s="186"/>
      <c r="EP231" s="186"/>
      <c r="EQ231" s="186"/>
      <c r="ER231" s="186"/>
      <c r="ES231" s="186"/>
      <c r="ET231" s="186"/>
      <c r="EU231" s="186"/>
      <c r="EV231" s="186"/>
      <c r="EW231" s="186"/>
      <c r="EX231" s="186"/>
      <c r="EY231" s="186"/>
      <c r="EZ231" s="186"/>
      <c r="FA231" s="186"/>
      <c r="FB231" s="186"/>
      <c r="FC231" s="186"/>
      <c r="FD231" s="186"/>
      <c r="FE231" s="186"/>
      <c r="FF231" s="186"/>
      <c r="FG231" s="186"/>
      <c r="FH231" s="186"/>
      <c r="FI231" s="182"/>
      <c r="FK231" s="180"/>
      <c r="FM231" s="185"/>
    </row>
    <row r="232" spans="1:169" ht="3" customHeight="1">
      <c r="A232" s="183"/>
      <c r="B232" s="190"/>
      <c r="C232" s="183"/>
      <c r="D232" s="183"/>
      <c r="E232" s="183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2"/>
      <c r="FK232" s="183"/>
      <c r="FL232" s="190"/>
      <c r="FM232" s="182"/>
    </row>
    <row r="233" spans="1:169" ht="3" customHeight="1">
      <c r="A233" s="183"/>
      <c r="B233" s="179"/>
      <c r="D233" s="183"/>
      <c r="E233" s="183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2"/>
      <c r="FK233" s="183"/>
      <c r="FL233" s="180"/>
      <c r="FM233" s="182"/>
    </row>
    <row r="234" spans="1:169" ht="3" customHeight="1">
      <c r="A234" s="183"/>
      <c r="B234" s="191"/>
      <c r="C234" s="190"/>
      <c r="D234" s="183"/>
      <c r="E234" s="183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2"/>
      <c r="FK234" s="190"/>
      <c r="FM234" s="185"/>
    </row>
    <row r="235" spans="1:169" ht="3" customHeight="1">
      <c r="A235" s="183"/>
      <c r="B235" s="183"/>
      <c r="C235" s="179"/>
      <c r="E235" s="183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2"/>
      <c r="FK235" s="180"/>
      <c r="FM235" s="185"/>
    </row>
    <row r="236" spans="1:169" ht="3" customHeight="1">
      <c r="A236" s="183"/>
      <c r="B236" s="181"/>
      <c r="C236" s="191"/>
      <c r="D236" s="183"/>
      <c r="E236" s="183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6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  <c r="DO236" s="186"/>
      <c r="DP236" s="186"/>
      <c r="DQ236" s="186"/>
      <c r="DR236" s="186"/>
      <c r="DS236" s="186"/>
      <c r="DT236" s="186"/>
      <c r="DU236" s="186"/>
      <c r="DV236" s="186"/>
      <c r="DW236" s="186"/>
      <c r="DX236" s="186"/>
      <c r="DY236" s="186"/>
      <c r="DZ236" s="186"/>
      <c r="EA236" s="186"/>
      <c r="EB236" s="186"/>
      <c r="EC236" s="186"/>
      <c r="ED236" s="186"/>
      <c r="EE236" s="186"/>
      <c r="EF236" s="186"/>
      <c r="EG236" s="186"/>
      <c r="EH236" s="186"/>
      <c r="EI236" s="186"/>
      <c r="EJ236" s="186"/>
      <c r="EK236" s="186"/>
      <c r="EL236" s="186"/>
      <c r="EM236" s="186"/>
      <c r="EN236" s="186"/>
      <c r="EO236" s="186"/>
      <c r="EP236" s="186"/>
      <c r="EQ236" s="186"/>
      <c r="ER236" s="186"/>
      <c r="ES236" s="186"/>
      <c r="ET236" s="186"/>
      <c r="EU236" s="186"/>
      <c r="EV236" s="186"/>
      <c r="EW236" s="186"/>
      <c r="EX236" s="186"/>
      <c r="EY236" s="186"/>
      <c r="EZ236" s="186"/>
      <c r="FA236" s="186"/>
      <c r="FB236" s="186"/>
      <c r="FC236" s="186"/>
      <c r="FD236" s="186"/>
      <c r="FE236" s="186"/>
      <c r="FF236" s="186"/>
      <c r="FG236" s="186"/>
      <c r="FH236" s="186"/>
      <c r="FI236" s="182"/>
      <c r="FK236" s="183"/>
      <c r="FL236" s="181"/>
      <c r="FM236" s="185"/>
    </row>
    <row r="237" spans="1:169" ht="3" customHeight="1">
      <c r="A237" s="183"/>
      <c r="B237" s="179"/>
      <c r="D237" s="183"/>
      <c r="E237" s="183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2"/>
      <c r="FK237" s="183"/>
      <c r="FL237" s="180"/>
      <c r="FM237" s="182"/>
    </row>
    <row r="238" spans="1:169" ht="3" customHeight="1">
      <c r="A238" s="183"/>
      <c r="B238" s="191"/>
      <c r="C238" s="190"/>
      <c r="D238" s="183"/>
      <c r="E238" s="183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2"/>
      <c r="FK238" s="181"/>
      <c r="FL238" s="189"/>
      <c r="FM238" s="185"/>
    </row>
    <row r="239" spans="1:169" ht="3" customHeight="1">
      <c r="A239" s="183"/>
      <c r="B239" s="183"/>
      <c r="C239" s="179"/>
      <c r="E239" s="183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2"/>
      <c r="FK239" s="180"/>
      <c r="FM239" s="185"/>
    </row>
    <row r="240" spans="1:169" ht="3" customHeight="1">
      <c r="A240" s="183"/>
      <c r="B240" s="190"/>
      <c r="C240" s="183"/>
      <c r="D240" s="183"/>
      <c r="E240" s="183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86"/>
      <c r="DX240" s="186"/>
      <c r="DY240" s="186"/>
      <c r="DZ240" s="186"/>
      <c r="EA240" s="186"/>
      <c r="EB240" s="186"/>
      <c r="EC240" s="186"/>
      <c r="ED240" s="186"/>
      <c r="EE240" s="186"/>
      <c r="EF240" s="186"/>
      <c r="EG240" s="186"/>
      <c r="EH240" s="186"/>
      <c r="EI240" s="186"/>
      <c r="EJ240" s="186"/>
      <c r="EK240" s="186"/>
      <c r="EL240" s="186"/>
      <c r="EM240" s="186"/>
      <c r="EN240" s="186"/>
      <c r="EO240" s="186"/>
      <c r="EP240" s="186"/>
      <c r="EQ240" s="186"/>
      <c r="ER240" s="186"/>
      <c r="ES240" s="186"/>
      <c r="ET240" s="186"/>
      <c r="EU240" s="186"/>
      <c r="EV240" s="186"/>
      <c r="EW240" s="186"/>
      <c r="EX240" s="186"/>
      <c r="EY240" s="186"/>
      <c r="EZ240" s="186"/>
      <c r="FA240" s="186"/>
      <c r="FB240" s="186"/>
      <c r="FC240" s="186"/>
      <c r="FD240" s="186"/>
      <c r="FE240" s="186"/>
      <c r="FF240" s="186"/>
      <c r="FG240" s="186"/>
      <c r="FH240" s="186"/>
      <c r="FI240" s="182"/>
      <c r="FK240" s="183"/>
      <c r="FL240" s="181"/>
      <c r="FM240" s="185"/>
    </row>
    <row r="241" spans="1:169" ht="3" customHeight="1">
      <c r="A241" s="183"/>
      <c r="B241" s="179"/>
      <c r="D241" s="183"/>
      <c r="E241" s="183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86"/>
      <c r="DX241" s="186"/>
      <c r="DY241" s="186"/>
      <c r="DZ241" s="186"/>
      <c r="EA241" s="186"/>
      <c r="EB241" s="186"/>
      <c r="EC241" s="186"/>
      <c r="ED241" s="186"/>
      <c r="EE241" s="186"/>
      <c r="EF241" s="186"/>
      <c r="EG241" s="186"/>
      <c r="EH241" s="186"/>
      <c r="EI241" s="186"/>
      <c r="EJ241" s="186"/>
      <c r="EK241" s="186"/>
      <c r="EL241" s="186"/>
      <c r="EM241" s="186"/>
      <c r="EN241" s="186"/>
      <c r="EO241" s="186"/>
      <c r="EP241" s="186"/>
      <c r="EQ241" s="186"/>
      <c r="ER241" s="186"/>
      <c r="ES241" s="186"/>
      <c r="ET241" s="186"/>
      <c r="EU241" s="186"/>
      <c r="EV241" s="186"/>
      <c r="EW241" s="186"/>
      <c r="EX241" s="186"/>
      <c r="EY241" s="186"/>
      <c r="EZ241" s="186"/>
      <c r="FA241" s="186"/>
      <c r="FB241" s="186"/>
      <c r="FC241" s="186"/>
      <c r="FD241" s="186"/>
      <c r="FE241" s="186"/>
      <c r="FF241" s="186"/>
      <c r="FG241" s="186"/>
      <c r="FH241" s="186"/>
      <c r="FI241" s="182"/>
      <c r="FK241" s="183"/>
      <c r="FL241" s="180"/>
      <c r="FM241" s="182"/>
    </row>
    <row r="242" spans="1:169" ht="3" customHeight="1">
      <c r="A242" s="183"/>
      <c r="B242" s="191"/>
      <c r="C242" s="190"/>
      <c r="D242" s="183"/>
      <c r="E242" s="183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6"/>
      <c r="EG242" s="186"/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6"/>
      <c r="ET242" s="186"/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6"/>
      <c r="FG242" s="186"/>
      <c r="FH242" s="186"/>
      <c r="FI242" s="182"/>
      <c r="FK242" s="181"/>
      <c r="FL242" s="189"/>
      <c r="FM242" s="185"/>
    </row>
    <row r="243" spans="1:169" ht="3" customHeight="1">
      <c r="A243" s="183"/>
      <c r="B243" s="183"/>
      <c r="C243" s="179"/>
      <c r="E243" s="183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2"/>
      <c r="FK243" s="180"/>
      <c r="FM243" s="185"/>
    </row>
    <row r="244" spans="1:169" ht="3" customHeight="1">
      <c r="A244" s="183"/>
      <c r="B244" s="181"/>
      <c r="C244" s="191"/>
      <c r="D244" s="183"/>
      <c r="E244" s="183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6"/>
      <c r="AR244" s="186"/>
      <c r="AS244" s="186"/>
      <c r="AT244" s="186"/>
      <c r="AU244" s="186"/>
      <c r="AV244" s="186"/>
      <c r="AW244" s="186"/>
      <c r="AX244" s="186"/>
      <c r="AY244" s="186"/>
      <c r="AZ244" s="186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6"/>
      <c r="BR244" s="186"/>
      <c r="BS244" s="186"/>
      <c r="BT244" s="186"/>
      <c r="BU244" s="186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6"/>
      <c r="CG244" s="186"/>
      <c r="CH244" s="186"/>
      <c r="CI244" s="186"/>
      <c r="CJ244" s="186"/>
      <c r="CK244" s="186"/>
      <c r="CL244" s="186"/>
      <c r="CM244" s="186"/>
      <c r="CN244" s="186"/>
      <c r="CO244" s="186"/>
      <c r="CP244" s="186"/>
      <c r="CQ244" s="186"/>
      <c r="CR244" s="186"/>
      <c r="CS244" s="186"/>
      <c r="CT244" s="186"/>
      <c r="CU244" s="186"/>
      <c r="CV244" s="186"/>
      <c r="CW244" s="186"/>
      <c r="CX244" s="186"/>
      <c r="CY244" s="186"/>
      <c r="CZ244" s="186"/>
      <c r="DA244" s="186"/>
      <c r="DB244" s="186"/>
      <c r="DC244" s="186"/>
      <c r="DD244" s="186"/>
      <c r="DE244" s="186"/>
      <c r="DF244" s="186"/>
      <c r="DG244" s="186"/>
      <c r="DH244" s="186"/>
      <c r="DI244" s="186"/>
      <c r="DJ244" s="186"/>
      <c r="DK244" s="186"/>
      <c r="DL244" s="186"/>
      <c r="DM244" s="186"/>
      <c r="DN244" s="186"/>
      <c r="DO244" s="186"/>
      <c r="DP244" s="186"/>
      <c r="DQ244" s="186"/>
      <c r="DR244" s="186"/>
      <c r="DS244" s="186"/>
      <c r="DT244" s="186"/>
      <c r="DU244" s="186"/>
      <c r="DV244" s="186"/>
      <c r="DW244" s="186"/>
      <c r="DX244" s="186"/>
      <c r="DY244" s="186"/>
      <c r="DZ244" s="186"/>
      <c r="EA244" s="186"/>
      <c r="EB244" s="186"/>
      <c r="EC244" s="186"/>
      <c r="ED244" s="186"/>
      <c r="EE244" s="186"/>
      <c r="EF244" s="186"/>
      <c r="EG244" s="186"/>
      <c r="EH244" s="186"/>
      <c r="EI244" s="186"/>
      <c r="EJ244" s="186"/>
      <c r="EK244" s="186"/>
      <c r="EL244" s="186"/>
      <c r="EM244" s="186"/>
      <c r="EN244" s="186"/>
      <c r="EO244" s="186"/>
      <c r="EP244" s="186"/>
      <c r="EQ244" s="186"/>
      <c r="ER244" s="186"/>
      <c r="ES244" s="186"/>
      <c r="ET244" s="186"/>
      <c r="EU244" s="186"/>
      <c r="EV244" s="186"/>
      <c r="EW244" s="186"/>
      <c r="EX244" s="186"/>
      <c r="EY244" s="186"/>
      <c r="EZ244" s="186"/>
      <c r="FA244" s="186"/>
      <c r="FB244" s="186"/>
      <c r="FC244" s="186"/>
      <c r="FD244" s="186"/>
      <c r="FE244" s="186"/>
      <c r="FF244" s="186"/>
      <c r="FG244" s="186"/>
      <c r="FH244" s="186"/>
      <c r="FI244" s="182"/>
      <c r="FK244" s="183"/>
      <c r="FL244" s="181"/>
      <c r="FM244" s="185"/>
    </row>
    <row r="245" spans="1:169" ht="3" customHeight="1">
      <c r="A245" s="183"/>
      <c r="B245" s="179"/>
      <c r="D245" s="183"/>
      <c r="E245" s="183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86"/>
      <c r="DX245" s="186"/>
      <c r="DY245" s="186"/>
      <c r="DZ245" s="186"/>
      <c r="EA245" s="186"/>
      <c r="EB245" s="186"/>
      <c r="EC245" s="186"/>
      <c r="ED245" s="186"/>
      <c r="EE245" s="186"/>
      <c r="EF245" s="186"/>
      <c r="EG245" s="186"/>
      <c r="EH245" s="186"/>
      <c r="EI245" s="186"/>
      <c r="EJ245" s="186"/>
      <c r="EK245" s="186"/>
      <c r="EL245" s="186"/>
      <c r="EM245" s="186"/>
      <c r="EN245" s="186"/>
      <c r="EO245" s="186"/>
      <c r="EP245" s="186"/>
      <c r="EQ245" s="186"/>
      <c r="ER245" s="186"/>
      <c r="ES245" s="186"/>
      <c r="ET245" s="186"/>
      <c r="EU245" s="186"/>
      <c r="EV245" s="186"/>
      <c r="EW245" s="186"/>
      <c r="EX245" s="186"/>
      <c r="EY245" s="186"/>
      <c r="EZ245" s="186"/>
      <c r="FA245" s="186"/>
      <c r="FB245" s="186"/>
      <c r="FC245" s="186"/>
      <c r="FD245" s="186"/>
      <c r="FE245" s="186"/>
      <c r="FF245" s="186"/>
      <c r="FG245" s="186"/>
      <c r="FH245" s="186"/>
      <c r="FI245" s="182"/>
      <c r="FK245" s="183"/>
      <c r="FL245" s="180"/>
      <c r="FM245" s="182"/>
    </row>
    <row r="246" spans="1:169" ht="3" customHeight="1">
      <c r="A246" s="183"/>
      <c r="B246" s="191"/>
      <c r="C246" s="190"/>
      <c r="D246" s="183"/>
      <c r="E246" s="183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2"/>
      <c r="FK246" s="181"/>
      <c r="FL246" s="189"/>
      <c r="FM246" s="185"/>
    </row>
    <row r="247" spans="1:169" ht="3" customHeight="1">
      <c r="A247" s="183"/>
      <c r="B247" s="183"/>
      <c r="C247" s="179"/>
      <c r="E247" s="183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86"/>
      <c r="DX247" s="186"/>
      <c r="DY247" s="186"/>
      <c r="DZ247" s="186"/>
      <c r="EA247" s="186"/>
      <c r="EB247" s="186"/>
      <c r="EC247" s="186"/>
      <c r="ED247" s="186"/>
      <c r="EE247" s="186"/>
      <c r="EF247" s="186"/>
      <c r="EG247" s="186"/>
      <c r="EH247" s="186"/>
      <c r="EI247" s="186"/>
      <c r="EJ247" s="186"/>
      <c r="EK247" s="186"/>
      <c r="EL247" s="186"/>
      <c r="EM247" s="186"/>
      <c r="EN247" s="186"/>
      <c r="EO247" s="186"/>
      <c r="EP247" s="186"/>
      <c r="EQ247" s="186"/>
      <c r="ER247" s="186"/>
      <c r="ES247" s="186"/>
      <c r="ET247" s="186"/>
      <c r="EU247" s="186"/>
      <c r="EV247" s="186"/>
      <c r="EW247" s="186"/>
      <c r="EX247" s="186"/>
      <c r="EY247" s="186"/>
      <c r="EZ247" s="186"/>
      <c r="FA247" s="186"/>
      <c r="FB247" s="186"/>
      <c r="FC247" s="186"/>
      <c r="FD247" s="186"/>
      <c r="FE247" s="186"/>
      <c r="FF247" s="186"/>
      <c r="FG247" s="186"/>
      <c r="FH247" s="186"/>
      <c r="FI247" s="182"/>
      <c r="FK247" s="180"/>
      <c r="FM247" s="185"/>
    </row>
    <row r="248" spans="1:169" ht="3" customHeight="1">
      <c r="A248" s="183"/>
      <c r="B248" s="190"/>
      <c r="C248" s="183"/>
      <c r="D248" s="183"/>
      <c r="E248" s="183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86"/>
      <c r="DX248" s="186"/>
      <c r="DY248" s="186"/>
      <c r="DZ248" s="186"/>
      <c r="EA248" s="186"/>
      <c r="EB248" s="186"/>
      <c r="EC248" s="186"/>
      <c r="ED248" s="186"/>
      <c r="EE248" s="186"/>
      <c r="EF248" s="186"/>
      <c r="EG248" s="186"/>
      <c r="EH248" s="186"/>
      <c r="EI248" s="186"/>
      <c r="EJ248" s="186"/>
      <c r="EK248" s="186"/>
      <c r="EL248" s="186"/>
      <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/>
      <c r="EW248" s="186"/>
      <c r="EX248" s="186"/>
      <c r="EY248" s="186"/>
      <c r="EZ248" s="186"/>
      <c r="FA248" s="186"/>
      <c r="FB248" s="186"/>
      <c r="FC248" s="186"/>
      <c r="FD248" s="186"/>
      <c r="FE248" s="186"/>
      <c r="FF248" s="186"/>
      <c r="FG248" s="186"/>
      <c r="FH248" s="186"/>
      <c r="FI248" s="182"/>
      <c r="FK248" s="183"/>
      <c r="FL248" s="181"/>
      <c r="FM248" s="185"/>
    </row>
    <row r="249" spans="1:169" ht="3" customHeight="1">
      <c r="A249" s="183"/>
      <c r="B249" s="179"/>
      <c r="D249" s="183"/>
      <c r="E249" s="183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2"/>
      <c r="FK249" s="183"/>
      <c r="FL249" s="180"/>
      <c r="FM249" s="182"/>
    </row>
    <row r="250" spans="1:169" ht="3" customHeight="1">
      <c r="A250" s="183"/>
      <c r="B250" s="191"/>
      <c r="C250" s="190"/>
      <c r="D250" s="183"/>
      <c r="E250" s="183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  <c r="AC250" s="186"/>
      <c r="AD250" s="186"/>
      <c r="AE250" s="186"/>
      <c r="AF250" s="186"/>
      <c r="AG250" s="186"/>
      <c r="AH250" s="186"/>
      <c r="AI250" s="186"/>
      <c r="AJ250" s="186"/>
      <c r="AK250" s="186"/>
      <c r="AL250" s="186"/>
      <c r="AM250" s="186"/>
      <c r="AN250" s="186"/>
      <c r="AO250" s="186"/>
      <c r="AP250" s="186"/>
      <c r="AQ250" s="186"/>
      <c r="AR250" s="186"/>
      <c r="AS250" s="186"/>
      <c r="AT250" s="186"/>
      <c r="AU250" s="186"/>
      <c r="AV250" s="186"/>
      <c r="AW250" s="186"/>
      <c r="AX250" s="186"/>
      <c r="AY250" s="186"/>
      <c r="AZ250" s="186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6"/>
      <c r="BR250" s="186"/>
      <c r="BS250" s="186"/>
      <c r="BT250" s="186"/>
      <c r="BU250" s="186"/>
      <c r="BV250" s="186"/>
      <c r="BW250" s="186"/>
      <c r="BX250" s="186"/>
      <c r="BY250" s="186"/>
      <c r="BZ250" s="186"/>
      <c r="CA250" s="186"/>
      <c r="CB250" s="186"/>
      <c r="CC250" s="186"/>
      <c r="CD250" s="186"/>
      <c r="CE250" s="186"/>
      <c r="CF250" s="186"/>
      <c r="CG250" s="186"/>
      <c r="CH250" s="186"/>
      <c r="CI250" s="186"/>
      <c r="CJ250" s="186"/>
      <c r="CK250" s="186"/>
      <c r="CL250" s="186"/>
      <c r="CM250" s="186"/>
      <c r="CN250" s="186"/>
      <c r="CO250" s="186"/>
      <c r="CP250" s="186"/>
      <c r="CQ250" s="186"/>
      <c r="CR250" s="186"/>
      <c r="CS250" s="186"/>
      <c r="CT250" s="186"/>
      <c r="CU250" s="186"/>
      <c r="CV250" s="186"/>
      <c r="CW250" s="186"/>
      <c r="CX250" s="186"/>
      <c r="CY250" s="186"/>
      <c r="CZ250" s="186"/>
      <c r="DA250" s="186"/>
      <c r="DB250" s="186"/>
      <c r="DC250" s="186"/>
      <c r="DD250" s="186"/>
      <c r="DE250" s="186"/>
      <c r="DF250" s="186"/>
      <c r="DG250" s="186"/>
      <c r="DH250" s="186"/>
      <c r="DI250" s="186"/>
      <c r="DJ250" s="192"/>
      <c r="DK250" s="186"/>
      <c r="DL250" s="186"/>
      <c r="DM250" s="186"/>
      <c r="DN250" s="186"/>
      <c r="DO250" s="186"/>
      <c r="DP250" s="186"/>
      <c r="DQ250" s="186"/>
      <c r="DR250" s="186"/>
      <c r="DS250" s="186"/>
      <c r="DT250" s="186"/>
      <c r="DU250" s="186"/>
      <c r="DV250" s="186"/>
      <c r="DW250" s="186"/>
      <c r="DX250" s="186"/>
      <c r="DY250" s="186"/>
      <c r="DZ250" s="186"/>
      <c r="EA250" s="186"/>
      <c r="EB250" s="186"/>
      <c r="EC250" s="186"/>
      <c r="ED250" s="186"/>
      <c r="EE250" s="186"/>
      <c r="EF250" s="186"/>
      <c r="EG250" s="186"/>
      <c r="EH250" s="186"/>
      <c r="EI250" s="186"/>
      <c r="EJ250" s="186"/>
      <c r="EK250" s="186"/>
      <c r="EL250" s="186"/>
      <c r="EM250" s="186"/>
      <c r="EN250" s="186"/>
      <c r="EO250" s="186"/>
      <c r="EP250" s="186"/>
      <c r="EQ250" s="186"/>
      <c r="ER250" s="186"/>
      <c r="ES250" s="186"/>
      <c r="ET250" s="186"/>
      <c r="EU250" s="186"/>
      <c r="EV250" s="186"/>
      <c r="EW250" s="186"/>
      <c r="EX250" s="186"/>
      <c r="EY250" s="186"/>
      <c r="EZ250" s="186"/>
      <c r="FA250" s="186"/>
      <c r="FB250" s="186"/>
      <c r="FC250" s="186"/>
      <c r="FD250" s="186"/>
      <c r="FE250" s="186"/>
      <c r="FF250" s="186"/>
      <c r="FG250" s="186"/>
      <c r="FH250" s="186"/>
      <c r="FI250" s="182"/>
      <c r="FK250" s="190"/>
      <c r="FL250" s="189"/>
      <c r="FM250" s="185"/>
    </row>
    <row r="251" spans="1:169" ht="3" customHeight="1">
      <c r="A251" s="183"/>
      <c r="B251" s="183"/>
      <c r="C251" s="179"/>
      <c r="E251" s="183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2"/>
      <c r="FK251" s="180"/>
      <c r="FM251" s="185"/>
    </row>
    <row r="252" spans="1:169" ht="3" customHeight="1">
      <c r="A252" s="183"/>
      <c r="B252" s="190"/>
      <c r="C252" s="183"/>
      <c r="D252" s="183"/>
      <c r="E252" s="183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2"/>
      <c r="FK252" s="183"/>
      <c r="FL252" s="181"/>
      <c r="FM252" s="185"/>
    </row>
    <row r="253" spans="1:169" ht="3" customHeight="1">
      <c r="A253" s="183"/>
      <c r="B253" s="179"/>
      <c r="D253" s="183"/>
      <c r="E253" s="183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6"/>
      <c r="EH253" s="186"/>
      <c r="EI253" s="186"/>
      <c r="EJ253" s="186"/>
      <c r="EK253" s="186"/>
      <c r="EL253" s="186"/>
      <c r="EM253" s="186"/>
      <c r="EN253" s="186"/>
      <c r="EO253" s="186"/>
      <c r="EP253" s="186"/>
      <c r="EQ253" s="186"/>
      <c r="ER253" s="186"/>
      <c r="ES253" s="186"/>
      <c r="ET253" s="186"/>
      <c r="EU253" s="186"/>
      <c r="EV253" s="186"/>
      <c r="EW253" s="186"/>
      <c r="EX253" s="186"/>
      <c r="EY253" s="186"/>
      <c r="EZ253" s="186"/>
      <c r="FA253" s="186"/>
      <c r="FB253" s="186"/>
      <c r="FC253" s="186"/>
      <c r="FD253" s="186"/>
      <c r="FE253" s="186"/>
      <c r="FF253" s="186"/>
      <c r="FG253" s="186"/>
      <c r="FH253" s="186"/>
      <c r="FI253" s="182"/>
      <c r="FK253" s="183"/>
      <c r="FL253" s="180"/>
      <c r="FM253" s="182"/>
    </row>
    <row r="254" spans="1:169" ht="3" customHeight="1">
      <c r="A254" s="183"/>
      <c r="B254" s="191"/>
      <c r="C254" s="190"/>
      <c r="D254" s="183"/>
      <c r="E254" s="183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86"/>
      <c r="DX254" s="186"/>
      <c r="DY254" s="186"/>
      <c r="DZ254" s="186"/>
      <c r="EA254" s="186"/>
      <c r="EB254" s="186"/>
      <c r="EC254" s="186"/>
      <c r="ED254" s="186"/>
      <c r="EE254" s="186"/>
      <c r="EF254" s="186"/>
      <c r="EG254" s="186"/>
      <c r="EH254" s="186"/>
      <c r="EI254" s="186"/>
      <c r="EJ254" s="186"/>
      <c r="EK254" s="186"/>
      <c r="EL254" s="186"/>
      <c r="EM254" s="186"/>
      <c r="EN254" s="186"/>
      <c r="EO254" s="186"/>
      <c r="EP254" s="186"/>
      <c r="EQ254" s="186"/>
      <c r="ER254" s="186"/>
      <c r="ES254" s="186"/>
      <c r="ET254" s="186"/>
      <c r="EU254" s="186"/>
      <c r="EV254" s="186"/>
      <c r="EW254" s="186"/>
      <c r="EX254" s="186"/>
      <c r="EY254" s="186"/>
      <c r="EZ254" s="186"/>
      <c r="FA254" s="186"/>
      <c r="FB254" s="186"/>
      <c r="FC254" s="186"/>
      <c r="FD254" s="186"/>
      <c r="FE254" s="186"/>
      <c r="FF254" s="186"/>
      <c r="FG254" s="186"/>
      <c r="FH254" s="186"/>
      <c r="FI254" s="182"/>
      <c r="FK254" s="190"/>
      <c r="FL254" s="189"/>
      <c r="FM254" s="185"/>
    </row>
    <row r="255" spans="1:169" ht="3" customHeight="1">
      <c r="A255" s="183"/>
      <c r="B255" s="183"/>
      <c r="C255" s="179"/>
      <c r="E255" s="183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" t="s">
        <v>1210</v>
      </c>
      <c r="BE255" s="1378"/>
      <c r="BF255" s="1378"/>
      <c r="BG255" s="1378"/>
      <c r="BH255" s="1378"/>
      <c r="BI255" s="1378"/>
      <c r="BJ255" s="1378"/>
      <c r="BK255" s="1378"/>
      <c r="BL255" s="1378"/>
      <c r="BM255" s="1378"/>
      <c r="BN255" s="1378"/>
      <c r="BO255" s="1378"/>
      <c r="BP255" s="1378"/>
      <c r="BQ255" s="1378"/>
      <c r="BR255" s="1378"/>
      <c r="BS255" s="1378"/>
      <c r="BT255" s="1378"/>
      <c r="BU255" s="1378"/>
      <c r="BV255" s="1378"/>
      <c r="BW255" s="1378"/>
      <c r="BX255" s="1378"/>
      <c r="BY255" s="1378"/>
      <c r="BZ255" s="1378"/>
      <c r="CA255" s="1378"/>
      <c r="CB255" s="1378"/>
      <c r="CC255" s="1378"/>
      <c r="CD255" s="1378"/>
      <c r="CE255" s="1378"/>
      <c r="CF255" s="1378"/>
      <c r="CG255" s="1378"/>
      <c r="CH255" s="1378"/>
      <c r="CI255" s="1378"/>
      <c r="CJ255" s="1378"/>
      <c r="CK255" s="1378"/>
      <c r="CL255" s="1378"/>
      <c r="CM255" s="1378"/>
      <c r="CN255" s="1378"/>
      <c r="CO255" s="1378"/>
      <c r="CP255" s="1378"/>
      <c r="CQ255" s="1378"/>
      <c r="CR255" s="1378"/>
      <c r="CS255" s="1378"/>
      <c r="CT255" s="1378"/>
      <c r="CU255" s="1378"/>
      <c r="CV255" s="1378"/>
      <c r="CW255" s="1378"/>
      <c r="CX255" s="1378"/>
      <c r="CY255" s="1378"/>
      <c r="CZ255" s="1378"/>
      <c r="DA255" s="1378"/>
      <c r="DB255" s="1378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2"/>
      <c r="FK255" s="180"/>
      <c r="FM255" s="185"/>
    </row>
    <row r="256" spans="1:169" ht="3" customHeight="1">
      <c r="A256" s="183"/>
      <c r="B256" s="181"/>
      <c r="C256" s="191"/>
      <c r="D256" s="183"/>
      <c r="E256" s="183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378"/>
      <c r="BE256" s="1378"/>
      <c r="BF256" s="1378"/>
      <c r="BG256" s="1378"/>
      <c r="BH256" s="1378"/>
      <c r="BI256" s="1378"/>
      <c r="BJ256" s="1378"/>
      <c r="BK256" s="1378"/>
      <c r="BL256" s="1378"/>
      <c r="BM256" s="1378"/>
      <c r="BN256" s="1378"/>
      <c r="BO256" s="1378"/>
      <c r="BP256" s="1378"/>
      <c r="BQ256" s="1378"/>
      <c r="BR256" s="1378"/>
      <c r="BS256" s="1378"/>
      <c r="BT256" s="1378"/>
      <c r="BU256" s="1378"/>
      <c r="BV256" s="1378"/>
      <c r="BW256" s="1378"/>
      <c r="BX256" s="1378"/>
      <c r="BY256" s="1378"/>
      <c r="BZ256" s="1378"/>
      <c r="CA256" s="1378"/>
      <c r="CB256" s="1378"/>
      <c r="CC256" s="1378"/>
      <c r="CD256" s="1378"/>
      <c r="CE256" s="1378"/>
      <c r="CF256" s="1378"/>
      <c r="CG256" s="1378"/>
      <c r="CH256" s="1378"/>
      <c r="CI256" s="1378"/>
      <c r="CJ256" s="1378"/>
      <c r="CK256" s="1378"/>
      <c r="CL256" s="1378"/>
      <c r="CM256" s="1378"/>
      <c r="CN256" s="1378"/>
      <c r="CO256" s="1378"/>
      <c r="CP256" s="1378"/>
      <c r="CQ256" s="1378"/>
      <c r="CR256" s="1378"/>
      <c r="CS256" s="1378"/>
      <c r="CT256" s="1378"/>
      <c r="CU256" s="1378"/>
      <c r="CV256" s="1378"/>
      <c r="CW256" s="1378"/>
      <c r="CX256" s="1378"/>
      <c r="CY256" s="1378"/>
      <c r="CZ256" s="1378"/>
      <c r="DA256" s="1378"/>
      <c r="DB256" s="1378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186"/>
      <c r="EY256" s="186"/>
      <c r="EZ256" s="186"/>
      <c r="FA256" s="186"/>
      <c r="FB256" s="186"/>
      <c r="FC256" s="186"/>
      <c r="FD256" s="186"/>
      <c r="FE256" s="186"/>
      <c r="FF256" s="186"/>
      <c r="FG256" s="186"/>
      <c r="FH256" s="186"/>
      <c r="FI256" s="182"/>
      <c r="FK256" s="183"/>
      <c r="FL256" s="181"/>
      <c r="FM256" s="185"/>
    </row>
    <row r="257" spans="1:169" ht="3" customHeight="1">
      <c r="A257" s="183"/>
      <c r="B257" s="179"/>
      <c r="D257" s="183"/>
      <c r="E257" s="183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378"/>
      <c r="BE257" s="1378"/>
      <c r="BF257" s="1378"/>
      <c r="BG257" s="1378"/>
      <c r="BH257" s="1378"/>
      <c r="BI257" s="1378"/>
      <c r="BJ257" s="1378"/>
      <c r="BK257" s="1378"/>
      <c r="BL257" s="1378"/>
      <c r="BM257" s="1378"/>
      <c r="BN257" s="1378"/>
      <c r="BO257" s="1378"/>
      <c r="BP257" s="1378"/>
      <c r="BQ257" s="1378"/>
      <c r="BR257" s="1378"/>
      <c r="BS257" s="1378"/>
      <c r="BT257" s="1378"/>
      <c r="BU257" s="1378"/>
      <c r="BV257" s="1378"/>
      <c r="BW257" s="1378"/>
      <c r="BX257" s="1378"/>
      <c r="BY257" s="1378"/>
      <c r="BZ257" s="1378"/>
      <c r="CA257" s="1378"/>
      <c r="CB257" s="1378"/>
      <c r="CC257" s="1378"/>
      <c r="CD257" s="1378"/>
      <c r="CE257" s="1378"/>
      <c r="CF257" s="1378"/>
      <c r="CG257" s="1378"/>
      <c r="CH257" s="1378"/>
      <c r="CI257" s="1378"/>
      <c r="CJ257" s="1378"/>
      <c r="CK257" s="1378"/>
      <c r="CL257" s="1378"/>
      <c r="CM257" s="1378"/>
      <c r="CN257" s="1378"/>
      <c r="CO257" s="1378"/>
      <c r="CP257" s="1378"/>
      <c r="CQ257" s="1378"/>
      <c r="CR257" s="1378"/>
      <c r="CS257" s="1378"/>
      <c r="CT257" s="1378"/>
      <c r="CU257" s="1378"/>
      <c r="CV257" s="1378"/>
      <c r="CW257" s="1378"/>
      <c r="CX257" s="1378"/>
      <c r="CY257" s="1378"/>
      <c r="CZ257" s="1378"/>
      <c r="DA257" s="1378"/>
      <c r="DB257" s="1378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2"/>
      <c r="FK257" s="183"/>
      <c r="FL257" s="180"/>
      <c r="FM257" s="182"/>
    </row>
    <row r="258" spans="1:169" ht="3" customHeight="1">
      <c r="A258" s="183"/>
      <c r="B258" s="191"/>
      <c r="C258" s="190"/>
      <c r="D258" s="183"/>
      <c r="E258" s="183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378"/>
      <c r="BE258" s="1378"/>
      <c r="BF258" s="1378"/>
      <c r="BG258" s="1378"/>
      <c r="BH258" s="1378"/>
      <c r="BI258" s="1378"/>
      <c r="BJ258" s="1378"/>
      <c r="BK258" s="1378"/>
      <c r="BL258" s="1378"/>
      <c r="BM258" s="1378"/>
      <c r="BN258" s="1378"/>
      <c r="BO258" s="1378"/>
      <c r="BP258" s="1378"/>
      <c r="BQ258" s="1378"/>
      <c r="BR258" s="1378"/>
      <c r="BS258" s="1378"/>
      <c r="BT258" s="1378"/>
      <c r="BU258" s="1378"/>
      <c r="BV258" s="1378"/>
      <c r="BW258" s="1378"/>
      <c r="BX258" s="1378"/>
      <c r="BY258" s="1378"/>
      <c r="BZ258" s="1378"/>
      <c r="CA258" s="1378"/>
      <c r="CB258" s="1378"/>
      <c r="CC258" s="1378"/>
      <c r="CD258" s="1378"/>
      <c r="CE258" s="1378"/>
      <c r="CF258" s="1378"/>
      <c r="CG258" s="1378"/>
      <c r="CH258" s="1378"/>
      <c r="CI258" s="1378"/>
      <c r="CJ258" s="1378"/>
      <c r="CK258" s="1378"/>
      <c r="CL258" s="1378"/>
      <c r="CM258" s="1378"/>
      <c r="CN258" s="1378"/>
      <c r="CO258" s="1378"/>
      <c r="CP258" s="1378"/>
      <c r="CQ258" s="1378"/>
      <c r="CR258" s="1378"/>
      <c r="CS258" s="1378"/>
      <c r="CT258" s="1378"/>
      <c r="CU258" s="1378"/>
      <c r="CV258" s="1378"/>
      <c r="CW258" s="1378"/>
      <c r="CX258" s="1378"/>
      <c r="CY258" s="1378"/>
      <c r="CZ258" s="1378"/>
      <c r="DA258" s="1378"/>
      <c r="DB258" s="1378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86"/>
      <c r="DX258" s="186"/>
      <c r="DY258" s="186"/>
      <c r="DZ258" s="186"/>
      <c r="EA258" s="186"/>
      <c r="EB258" s="186"/>
      <c r="EC258" s="186"/>
      <c r="ED258" s="186"/>
      <c r="EE258" s="186"/>
      <c r="EF258" s="186"/>
      <c r="EG258" s="186"/>
      <c r="EH258" s="186"/>
      <c r="EI258" s="186"/>
      <c r="EJ258" s="186"/>
      <c r="EK258" s="186"/>
      <c r="EL258" s="186"/>
      <c r="EM258" s="186"/>
      <c r="EN258" s="186"/>
      <c r="EO258" s="186"/>
      <c r="EP258" s="186"/>
      <c r="EQ258" s="186"/>
      <c r="ER258" s="186"/>
      <c r="ES258" s="186"/>
      <c r="ET258" s="186"/>
      <c r="EU258" s="186"/>
      <c r="EV258" s="186"/>
      <c r="EW258" s="186"/>
      <c r="EX258" s="186"/>
      <c r="EY258" s="186"/>
      <c r="EZ258" s="186"/>
      <c r="FA258" s="186"/>
      <c r="FB258" s="186"/>
      <c r="FC258" s="186"/>
      <c r="FD258" s="186"/>
      <c r="FE258" s="186"/>
      <c r="FF258" s="186"/>
      <c r="FG258" s="186"/>
      <c r="FH258" s="186"/>
      <c r="FI258" s="182"/>
      <c r="FK258" s="181"/>
      <c r="FL258" s="189"/>
      <c r="FM258" s="185"/>
    </row>
    <row r="259" spans="1:169" ht="20.25" customHeight="1">
      <c r="A259" s="183"/>
      <c r="B259" s="183"/>
      <c r="C259" s="179"/>
      <c r="E259" s="183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378"/>
      <c r="BE259" s="1378"/>
      <c r="BF259" s="1378"/>
      <c r="BG259" s="1378"/>
      <c r="BH259" s="1378"/>
      <c r="BI259" s="1378"/>
      <c r="BJ259" s="1378"/>
      <c r="BK259" s="1378"/>
      <c r="BL259" s="1378"/>
      <c r="BM259" s="1378"/>
      <c r="BN259" s="1378"/>
      <c r="BO259" s="1378"/>
      <c r="BP259" s="1378"/>
      <c r="BQ259" s="1378"/>
      <c r="BR259" s="1378"/>
      <c r="BS259" s="1378"/>
      <c r="BT259" s="1378"/>
      <c r="BU259" s="1378"/>
      <c r="BV259" s="1378"/>
      <c r="BW259" s="1378"/>
      <c r="BX259" s="1378"/>
      <c r="BY259" s="1378"/>
      <c r="BZ259" s="1378"/>
      <c r="CA259" s="1378"/>
      <c r="CB259" s="1378"/>
      <c r="CC259" s="1378"/>
      <c r="CD259" s="1378"/>
      <c r="CE259" s="1378"/>
      <c r="CF259" s="1378"/>
      <c r="CG259" s="1378"/>
      <c r="CH259" s="1378"/>
      <c r="CI259" s="1378"/>
      <c r="CJ259" s="1378"/>
      <c r="CK259" s="1378"/>
      <c r="CL259" s="1378"/>
      <c r="CM259" s="1378"/>
      <c r="CN259" s="1378"/>
      <c r="CO259" s="1378"/>
      <c r="CP259" s="1378"/>
      <c r="CQ259" s="1378"/>
      <c r="CR259" s="1378"/>
      <c r="CS259" s="1378"/>
      <c r="CT259" s="1378"/>
      <c r="CU259" s="1378"/>
      <c r="CV259" s="1378"/>
      <c r="CW259" s="1378"/>
      <c r="CX259" s="1378"/>
      <c r="CY259" s="1378"/>
      <c r="CZ259" s="1378"/>
      <c r="DA259" s="1378"/>
      <c r="DB259" s="1378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2"/>
      <c r="FK259" s="180"/>
      <c r="FM259" s="185"/>
    </row>
    <row r="260" spans="1:169" ht="3" customHeight="1">
      <c r="A260" s="183"/>
      <c r="B260" s="190"/>
      <c r="C260" s="183"/>
      <c r="D260" s="183"/>
      <c r="E260" s="183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2"/>
      <c r="FK260" s="183"/>
      <c r="FL260" s="181"/>
      <c r="FM260" s="185"/>
    </row>
    <row r="261" spans="1:169" ht="3" customHeight="1">
      <c r="A261" s="183"/>
      <c r="B261" s="179"/>
      <c r="D261" s="183"/>
      <c r="E261" s="183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2"/>
      <c r="FK261" s="183"/>
      <c r="FL261" s="180"/>
      <c r="FM261" s="182"/>
    </row>
    <row r="262" spans="1:169" ht="3" customHeight="1">
      <c r="A262" s="183"/>
      <c r="B262" s="191"/>
      <c r="C262" s="190"/>
      <c r="D262" s="183"/>
      <c r="E262" s="183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86"/>
      <c r="DX262" s="186"/>
      <c r="DY262" s="186"/>
      <c r="DZ262" s="186"/>
      <c r="EA262" s="186"/>
      <c r="EB262" s="186"/>
      <c r="EC262" s="186"/>
      <c r="ED262" s="186"/>
      <c r="EE262" s="186"/>
      <c r="EF262" s="186"/>
      <c r="EG262" s="186"/>
      <c r="EH262" s="186"/>
      <c r="EI262" s="186"/>
      <c r="EJ262" s="186"/>
      <c r="EK262" s="186"/>
      <c r="EL262" s="186"/>
      <c r="EM262" s="186"/>
      <c r="EN262" s="186"/>
      <c r="EO262" s="186"/>
      <c r="EP262" s="186"/>
      <c r="EQ262" s="186"/>
      <c r="ER262" s="186"/>
      <c r="ES262" s="186"/>
      <c r="ET262" s="186"/>
      <c r="EU262" s="186"/>
      <c r="EV262" s="186"/>
      <c r="EW262" s="186"/>
      <c r="EX262" s="186"/>
      <c r="EY262" s="186"/>
      <c r="EZ262" s="186"/>
      <c r="FA262" s="186"/>
      <c r="FB262" s="186"/>
      <c r="FC262" s="186"/>
      <c r="FD262" s="186"/>
      <c r="FE262" s="186"/>
      <c r="FF262" s="186"/>
      <c r="FG262" s="186"/>
      <c r="FH262" s="186"/>
      <c r="FI262" s="182"/>
      <c r="FK262" s="190"/>
      <c r="FL262" s="189"/>
      <c r="FM262" s="185"/>
    </row>
    <row r="263" spans="1:169" ht="3" customHeight="1">
      <c r="A263" s="183"/>
      <c r="B263" s="183"/>
      <c r="C263" s="179"/>
      <c r="E263" s="183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86"/>
      <c r="DX263" s="186"/>
      <c r="DY263" s="186"/>
      <c r="DZ263" s="186"/>
      <c r="EA263" s="186"/>
      <c r="EB263" s="186"/>
      <c r="EC263" s="186"/>
      <c r="ED263" s="186"/>
      <c r="EE263" s="186"/>
      <c r="EF263" s="186"/>
      <c r="EG263" s="186"/>
      <c r="EH263" s="186"/>
      <c r="EI263" s="186"/>
      <c r="EJ263" s="186"/>
      <c r="EK263" s="186"/>
      <c r="EL263" s="186"/>
      <c r="EM263" s="186"/>
      <c r="EN263" s="186"/>
      <c r="EO263" s="186"/>
      <c r="EP263" s="186"/>
      <c r="EQ263" s="186"/>
      <c r="ER263" s="186"/>
      <c r="ES263" s="186"/>
      <c r="ET263" s="186"/>
      <c r="EU263" s="186"/>
      <c r="EV263" s="186"/>
      <c r="EW263" s="186"/>
      <c r="EX263" s="186"/>
      <c r="EY263" s="186"/>
      <c r="EZ263" s="186"/>
      <c r="FA263" s="186"/>
      <c r="FB263" s="186"/>
      <c r="FC263" s="186"/>
      <c r="FD263" s="186"/>
      <c r="FE263" s="186"/>
      <c r="FF263" s="186"/>
      <c r="FG263" s="186"/>
      <c r="FH263" s="186"/>
      <c r="FI263" s="182"/>
      <c r="FK263" s="180"/>
      <c r="FM263" s="185"/>
    </row>
    <row r="264" spans="1:169" ht="3" customHeight="1">
      <c r="A264" s="183"/>
      <c r="B264" s="181"/>
      <c r="C264" s="191"/>
      <c r="D264" s="183"/>
      <c r="E264" s="183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86"/>
      <c r="DX264" s="186"/>
      <c r="DY264" s="186"/>
      <c r="DZ264" s="186"/>
      <c r="EA264" s="186"/>
      <c r="EB264" s="186"/>
      <c r="EC264" s="186"/>
      <c r="ED264" s="186"/>
      <c r="EE264" s="186"/>
      <c r="EF264" s="186"/>
      <c r="EG264" s="186"/>
      <c r="EH264" s="186"/>
      <c r="EI264" s="186"/>
      <c r="EJ264" s="186"/>
      <c r="EK264" s="186"/>
      <c r="EL264" s="186"/>
      <c r="EM264" s="186"/>
      <c r="EN264" s="186"/>
      <c r="EO264" s="186"/>
      <c r="EP264" s="186"/>
      <c r="EQ264" s="186"/>
      <c r="ER264" s="186"/>
      <c r="ES264" s="186"/>
      <c r="ET264" s="186"/>
      <c r="EU264" s="186"/>
      <c r="EV264" s="186"/>
      <c r="EW264" s="186"/>
      <c r="EX264" s="186"/>
      <c r="EY264" s="186"/>
      <c r="EZ264" s="186"/>
      <c r="FA264" s="186"/>
      <c r="FB264" s="186"/>
      <c r="FC264" s="186"/>
      <c r="FD264" s="186"/>
      <c r="FE264" s="186"/>
      <c r="FF264" s="186"/>
      <c r="FG264" s="186"/>
      <c r="FH264" s="186"/>
      <c r="FI264" s="182"/>
      <c r="FK264" s="183"/>
      <c r="FL264" s="181"/>
      <c r="FM264" s="185"/>
    </row>
    <row r="265" spans="1:169" ht="3" customHeight="1">
      <c r="A265" s="183"/>
      <c r="B265" s="179"/>
      <c r="D265" s="183"/>
      <c r="E265" s="183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86"/>
      <c r="DX265" s="186"/>
      <c r="DY265" s="186"/>
      <c r="DZ265" s="186"/>
      <c r="EA265" s="186"/>
      <c r="EB265" s="186"/>
      <c r="EC265" s="186"/>
      <c r="ED265" s="186"/>
      <c r="EE265" s="186"/>
      <c r="EF265" s="186"/>
      <c r="EG265" s="186"/>
      <c r="EH265" s="186"/>
      <c r="EI265" s="186"/>
      <c r="EJ265" s="186"/>
      <c r="EK265" s="186"/>
      <c r="EL265" s="186"/>
      <c r="EM265" s="186"/>
      <c r="EN265" s="186"/>
      <c r="EO265" s="186"/>
      <c r="EP265" s="186"/>
      <c r="EQ265" s="186"/>
      <c r="ER265" s="186"/>
      <c r="ES265" s="186"/>
      <c r="ET265" s="186"/>
      <c r="EU265" s="186"/>
      <c r="EV265" s="186"/>
      <c r="EW265" s="186"/>
      <c r="EX265" s="186"/>
      <c r="EY265" s="186"/>
      <c r="EZ265" s="186"/>
      <c r="FA265" s="186"/>
      <c r="FB265" s="186"/>
      <c r="FC265" s="186"/>
      <c r="FD265" s="186"/>
      <c r="FE265" s="186"/>
      <c r="FF265" s="186"/>
      <c r="FG265" s="186"/>
      <c r="FH265" s="186"/>
      <c r="FI265" s="182"/>
      <c r="FK265" s="183"/>
      <c r="FL265" s="180"/>
      <c r="FM265" s="182"/>
    </row>
    <row r="266" spans="1:169" ht="3" customHeight="1">
      <c r="A266" s="183"/>
      <c r="B266" s="191"/>
      <c r="C266" s="190"/>
      <c r="D266" s="183"/>
      <c r="E266" s="183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86"/>
      <c r="DX266" s="186"/>
      <c r="DY266" s="186"/>
      <c r="DZ266" s="186"/>
      <c r="EA266" s="186"/>
      <c r="EB266" s="186"/>
      <c r="EC266" s="186"/>
      <c r="ED266" s="186"/>
      <c r="EE266" s="186"/>
      <c r="EF266" s="186"/>
      <c r="EG266" s="186"/>
      <c r="EH266" s="186"/>
      <c r="EI266" s="186"/>
      <c r="EJ266" s="186"/>
      <c r="EK266" s="186"/>
      <c r="EL266" s="186"/>
      <c r="EM266" s="186"/>
      <c r="EN266" s="186"/>
      <c r="EO266" s="186"/>
      <c r="EP266" s="186"/>
      <c r="EQ266" s="186"/>
      <c r="ER266" s="186"/>
      <c r="ES266" s="186"/>
      <c r="ET266" s="186"/>
      <c r="EU266" s="186"/>
      <c r="EV266" s="186"/>
      <c r="EW266" s="186"/>
      <c r="EX266" s="186"/>
      <c r="EY266" s="186"/>
      <c r="EZ266" s="186"/>
      <c r="FA266" s="186"/>
      <c r="FB266" s="186"/>
      <c r="FC266" s="186"/>
      <c r="FD266" s="186"/>
      <c r="FE266" s="186"/>
      <c r="FF266" s="186"/>
      <c r="FG266" s="186"/>
      <c r="FH266" s="186"/>
      <c r="FI266" s="182"/>
      <c r="FK266" s="190"/>
      <c r="FL266" s="189"/>
      <c r="FM266" s="185"/>
    </row>
    <row r="267" spans="1:169" ht="3" customHeight="1">
      <c r="A267" s="183"/>
      <c r="B267" s="183"/>
      <c r="C267" s="179"/>
      <c r="E267" s="183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86"/>
      <c r="DX267" s="186"/>
      <c r="DY267" s="186"/>
      <c r="DZ267" s="186"/>
      <c r="EA267" s="186"/>
      <c r="EB267" s="186"/>
      <c r="EC267" s="186"/>
      <c r="ED267" s="186"/>
      <c r="EE267" s="186"/>
      <c r="EF267" s="186"/>
      <c r="EG267" s="186"/>
      <c r="EH267" s="186"/>
      <c r="EI267" s="186"/>
      <c r="EJ267" s="186"/>
      <c r="EK267" s="186"/>
      <c r="EL267" s="186"/>
      <c r="EM267" s="186"/>
      <c r="EN267" s="186"/>
      <c r="EO267" s="186"/>
      <c r="EP267" s="186"/>
      <c r="EQ267" s="186"/>
      <c r="ER267" s="186"/>
      <c r="ES267" s="186"/>
      <c r="ET267" s="186"/>
      <c r="EU267" s="186"/>
      <c r="EV267" s="186"/>
      <c r="EW267" s="186"/>
      <c r="EX267" s="186"/>
      <c r="EY267" s="186"/>
      <c r="EZ267" s="186"/>
      <c r="FA267" s="186"/>
      <c r="FB267" s="186"/>
      <c r="FC267" s="186"/>
      <c r="FD267" s="186"/>
      <c r="FE267" s="186"/>
      <c r="FF267" s="186"/>
      <c r="FG267" s="186"/>
      <c r="FH267" s="186"/>
      <c r="FI267" s="182"/>
      <c r="FK267" s="180"/>
      <c r="FM267" s="185"/>
    </row>
    <row r="268" spans="1:169" ht="3" customHeight="1">
      <c r="A268" s="183"/>
      <c r="B268" s="190"/>
      <c r="C268" s="183"/>
      <c r="D268" s="183"/>
      <c r="E268" s="183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86"/>
      <c r="DX268" s="186"/>
      <c r="DY268" s="186"/>
      <c r="DZ268" s="186"/>
      <c r="EA268" s="186"/>
      <c r="EB268" s="186"/>
      <c r="EC268" s="186"/>
      <c r="ED268" s="186"/>
      <c r="EE268" s="186"/>
      <c r="EF268" s="186"/>
      <c r="EG268" s="186"/>
      <c r="EH268" s="186"/>
      <c r="EI268" s="186"/>
      <c r="EJ268" s="186"/>
      <c r="EK268" s="186"/>
      <c r="EL268" s="186"/>
      <c r="EM268" s="186"/>
      <c r="EN268" s="186"/>
      <c r="EO268" s="186"/>
      <c r="EP268" s="186"/>
      <c r="EQ268" s="186"/>
      <c r="ER268" s="186"/>
      <c r="ES268" s="186"/>
      <c r="ET268" s="186"/>
      <c r="EU268" s="186"/>
      <c r="EV268" s="186"/>
      <c r="EW268" s="186"/>
      <c r="EX268" s="186"/>
      <c r="EY268" s="186"/>
      <c r="EZ268" s="186"/>
      <c r="FA268" s="186"/>
      <c r="FB268" s="186"/>
      <c r="FC268" s="186"/>
      <c r="FD268" s="186"/>
      <c r="FE268" s="186"/>
      <c r="FF268" s="186"/>
      <c r="FG268" s="186"/>
      <c r="FH268" s="186"/>
      <c r="FI268" s="182"/>
      <c r="FK268" s="183"/>
      <c r="FL268" s="181"/>
      <c r="FM268" s="185"/>
    </row>
    <row r="269" spans="1:169" ht="3" customHeight="1">
      <c r="A269" s="183"/>
      <c r="B269" s="179"/>
      <c r="D269" s="183"/>
      <c r="E269" s="181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  <c r="CB269" s="180"/>
      <c r="CC269" s="180"/>
      <c r="CD269" s="180"/>
      <c r="CE269" s="180"/>
      <c r="CF269" s="180"/>
      <c r="CG269" s="180"/>
      <c r="CH269" s="180"/>
      <c r="CI269" s="180"/>
      <c r="CJ269" s="180"/>
      <c r="CK269" s="180"/>
      <c r="CL269" s="180"/>
      <c r="CM269" s="180"/>
      <c r="CN269" s="180"/>
      <c r="CO269" s="180"/>
      <c r="CP269" s="180"/>
      <c r="CQ269" s="180"/>
      <c r="CR269" s="180"/>
      <c r="CS269" s="180"/>
      <c r="CT269" s="180"/>
      <c r="CU269" s="180"/>
      <c r="CV269" s="180"/>
      <c r="CW269" s="180"/>
      <c r="CX269" s="180"/>
      <c r="CY269" s="180"/>
      <c r="CZ269" s="180"/>
      <c r="DA269" s="180"/>
      <c r="DB269" s="180"/>
      <c r="DC269" s="180"/>
      <c r="DD269" s="180"/>
      <c r="DE269" s="180"/>
      <c r="DF269" s="180"/>
      <c r="DG269" s="180"/>
      <c r="DH269" s="180"/>
      <c r="DI269" s="180"/>
      <c r="DJ269" s="180"/>
      <c r="DK269" s="180"/>
      <c r="DL269" s="180"/>
      <c r="DM269" s="180"/>
      <c r="DN269" s="180"/>
      <c r="DO269" s="180"/>
      <c r="DP269" s="180"/>
      <c r="DQ269" s="180"/>
      <c r="DR269" s="180"/>
      <c r="DS269" s="180"/>
      <c r="DT269" s="180"/>
      <c r="DU269" s="180"/>
      <c r="DV269" s="180"/>
      <c r="DW269" s="180"/>
      <c r="DX269" s="180"/>
      <c r="DY269" s="180"/>
      <c r="DZ269" s="180"/>
      <c r="EA269" s="180"/>
      <c r="EB269" s="180"/>
      <c r="EC269" s="180"/>
      <c r="ED269" s="180"/>
      <c r="EE269" s="180"/>
      <c r="EF269" s="180"/>
      <c r="EG269" s="180"/>
      <c r="EH269" s="180"/>
      <c r="EI269" s="180"/>
      <c r="EJ269" s="180"/>
      <c r="EK269" s="180"/>
      <c r="EL269" s="180"/>
      <c r="EM269" s="180"/>
      <c r="EN269" s="180"/>
      <c r="EO269" s="180"/>
      <c r="EP269" s="180"/>
      <c r="EQ269" s="180"/>
      <c r="ER269" s="180"/>
      <c r="ES269" s="180"/>
      <c r="ET269" s="180"/>
      <c r="EU269" s="180"/>
      <c r="EV269" s="180"/>
      <c r="EW269" s="180"/>
      <c r="EX269" s="180"/>
      <c r="EY269" s="180"/>
      <c r="EZ269" s="180"/>
      <c r="FA269" s="180"/>
      <c r="FB269" s="180"/>
      <c r="FC269" s="180"/>
      <c r="FD269" s="180"/>
      <c r="FE269" s="180"/>
      <c r="FF269" s="180"/>
      <c r="FG269" s="180"/>
      <c r="FH269" s="180"/>
      <c r="FI269" s="178"/>
      <c r="FK269" s="183"/>
      <c r="FL269" s="180"/>
      <c r="FM269" s="182"/>
    </row>
    <row r="270" spans="1:169" ht="3" customHeight="1">
      <c r="A270" s="183"/>
      <c r="B270" s="191"/>
      <c r="C270" s="190"/>
      <c r="D270" s="181"/>
      <c r="E270" s="180"/>
      <c r="F270" s="180"/>
      <c r="H270" s="180"/>
      <c r="I270" s="180"/>
      <c r="J270" s="180"/>
      <c r="L270" s="180"/>
      <c r="M270" s="180"/>
      <c r="N270" s="180"/>
      <c r="P270" s="180"/>
      <c r="Q270" s="180"/>
      <c r="R270" s="180"/>
      <c r="T270" s="180"/>
      <c r="U270" s="180"/>
      <c r="V270" s="186"/>
      <c r="W270" s="186"/>
      <c r="X270" s="180"/>
      <c r="Y270" s="180"/>
      <c r="Z270" s="180"/>
      <c r="AA270" s="186"/>
      <c r="AB270" s="186"/>
      <c r="AC270" s="180"/>
      <c r="AD270" s="180"/>
      <c r="AF270" s="180"/>
      <c r="AG270" s="180"/>
      <c r="AH270" s="180"/>
      <c r="AJ270" s="180"/>
      <c r="AK270" s="180"/>
      <c r="AL270" s="180"/>
      <c r="AN270" s="180"/>
      <c r="AO270" s="180"/>
      <c r="AP270" s="186"/>
      <c r="AQ270" s="186"/>
      <c r="AR270" s="180"/>
      <c r="AS270" s="180"/>
      <c r="AT270" s="180"/>
      <c r="AV270" s="180"/>
      <c r="AW270" s="180"/>
      <c r="AX270" s="180"/>
      <c r="AZ270" s="180"/>
      <c r="BA270" s="180"/>
      <c r="BB270" s="180"/>
      <c r="BD270" s="180"/>
      <c r="BE270" s="180"/>
      <c r="BF270" s="186"/>
      <c r="BG270" s="186"/>
      <c r="BH270" s="180"/>
      <c r="BI270" s="180"/>
      <c r="BJ270" s="180"/>
      <c r="BK270" s="186"/>
      <c r="BL270" s="180"/>
      <c r="BM270" s="180"/>
      <c r="BN270" s="180"/>
      <c r="BP270" s="180"/>
      <c r="BQ270" s="180"/>
      <c r="BR270" s="180"/>
      <c r="BT270" s="180"/>
      <c r="BU270" s="180"/>
      <c r="BV270" s="186"/>
      <c r="BW270" s="186"/>
      <c r="BX270" s="180"/>
      <c r="BY270" s="180"/>
      <c r="BZ270" s="180"/>
      <c r="CA270" s="186"/>
      <c r="CB270" s="186"/>
      <c r="CC270" s="180"/>
      <c r="CD270" s="180"/>
      <c r="CF270" s="180"/>
      <c r="CG270" s="180"/>
      <c r="CH270" s="180"/>
      <c r="CJ270" s="180"/>
      <c r="CK270" s="180"/>
      <c r="CL270" s="180"/>
      <c r="CN270" s="180"/>
      <c r="CO270" s="180"/>
      <c r="CP270" s="186"/>
      <c r="CQ270" s="186"/>
      <c r="CR270" s="180"/>
      <c r="CS270" s="180"/>
      <c r="CT270" s="180"/>
      <c r="CV270" s="180"/>
      <c r="CW270" s="180"/>
      <c r="CX270" s="180"/>
      <c r="CZ270" s="180"/>
      <c r="DA270" s="180"/>
      <c r="DB270" s="180"/>
      <c r="DD270" s="180"/>
      <c r="DE270" s="180"/>
      <c r="DF270" s="186"/>
      <c r="DG270" s="186"/>
      <c r="DH270" s="180"/>
      <c r="DI270" s="180"/>
      <c r="DJ270" s="180"/>
      <c r="DK270" s="186"/>
      <c r="DL270" s="186"/>
      <c r="DM270" s="180"/>
      <c r="DN270" s="180"/>
      <c r="DP270" s="180"/>
      <c r="DQ270" s="180"/>
      <c r="DR270" s="180"/>
      <c r="DT270" s="180"/>
      <c r="DU270" s="180"/>
      <c r="DV270" s="186"/>
      <c r="DW270" s="186"/>
      <c r="DX270" s="180"/>
      <c r="DY270" s="180"/>
      <c r="DZ270" s="180"/>
      <c r="EA270" s="186"/>
      <c r="EB270" s="186"/>
      <c r="EC270" s="180"/>
      <c r="ED270" s="180"/>
      <c r="EF270" s="180"/>
      <c r="EG270" s="180"/>
      <c r="EH270" s="180"/>
      <c r="EJ270" s="180"/>
      <c r="EK270" s="180"/>
      <c r="EL270" s="180"/>
      <c r="EN270" s="180"/>
      <c r="EO270" s="180"/>
      <c r="EP270" s="186"/>
      <c r="EQ270" s="186"/>
      <c r="ER270" s="180"/>
      <c r="ES270" s="180"/>
      <c r="ET270" s="180"/>
      <c r="EV270" s="180"/>
      <c r="EW270" s="180"/>
      <c r="EX270" s="180"/>
      <c r="EZ270" s="180"/>
      <c r="FA270" s="180"/>
      <c r="FB270" s="180"/>
      <c r="FD270" s="180"/>
      <c r="FE270" s="180"/>
      <c r="FF270" s="186"/>
      <c r="FG270" s="186"/>
      <c r="FH270" s="180"/>
      <c r="FI270" s="180"/>
      <c r="FJ270" s="180"/>
      <c r="FK270" s="190"/>
      <c r="FL270" s="189"/>
      <c r="FM270" s="182"/>
    </row>
    <row r="271" spans="1:169" ht="3" customHeight="1">
      <c r="A271" s="183"/>
      <c r="B271" s="183"/>
      <c r="C271" s="188"/>
      <c r="D271" s="181"/>
      <c r="F271" s="187"/>
      <c r="G271" s="183"/>
      <c r="H271" s="181"/>
      <c r="J271" s="180"/>
      <c r="K271" s="183"/>
      <c r="L271" s="184"/>
      <c r="N271" s="179"/>
      <c r="O271" s="183"/>
      <c r="P271" s="181"/>
      <c r="R271" s="187"/>
      <c r="S271" s="183"/>
      <c r="T271" s="181"/>
      <c r="V271" s="187"/>
      <c r="W271" s="183"/>
      <c r="X271" s="181"/>
      <c r="Z271" s="180"/>
      <c r="AA271" s="183"/>
      <c r="AB271" s="184"/>
      <c r="AD271" s="180"/>
      <c r="AE271" s="183"/>
      <c r="AF271" s="184"/>
      <c r="AH271" s="179"/>
      <c r="AI271" s="183"/>
      <c r="AJ271" s="181"/>
      <c r="AL271" s="187"/>
      <c r="AM271" s="183"/>
      <c r="AN271" s="181"/>
      <c r="AP271" s="187"/>
      <c r="AQ271" s="183"/>
      <c r="AR271" s="181"/>
      <c r="AT271" s="180"/>
      <c r="AU271" s="183"/>
      <c r="AV271" s="184"/>
      <c r="AX271" s="179"/>
      <c r="AY271" s="183"/>
      <c r="AZ271" s="181"/>
      <c r="BB271" s="187"/>
      <c r="BC271" s="183"/>
      <c r="BD271" s="181"/>
      <c r="BF271" s="187"/>
      <c r="BG271" s="183"/>
      <c r="BH271" s="181"/>
      <c r="BJ271" s="180"/>
      <c r="BK271" s="183"/>
      <c r="BL271" s="184"/>
      <c r="BN271" s="179"/>
      <c r="BO271" s="183"/>
      <c r="BP271" s="181"/>
      <c r="BR271" s="187"/>
      <c r="BS271" s="183"/>
      <c r="BT271" s="181"/>
      <c r="BV271" s="187"/>
      <c r="BW271" s="183"/>
      <c r="BX271" s="181"/>
      <c r="BZ271" s="180"/>
      <c r="CA271" s="183"/>
      <c r="CB271" s="184"/>
      <c r="CD271" s="180"/>
      <c r="CE271" s="183"/>
      <c r="CF271" s="184"/>
      <c r="CH271" s="179"/>
      <c r="CI271" s="183"/>
      <c r="CJ271" s="181"/>
      <c r="CL271" s="187"/>
      <c r="CM271" s="183"/>
      <c r="CN271" s="181"/>
      <c r="CP271" s="187"/>
      <c r="CQ271" s="183"/>
      <c r="CR271" s="181"/>
      <c r="CT271" s="180"/>
      <c r="CU271" s="183"/>
      <c r="CV271" s="184"/>
      <c r="CX271" s="179"/>
      <c r="CY271" s="183"/>
      <c r="CZ271" s="181"/>
      <c r="DB271" s="187"/>
      <c r="DC271" s="183"/>
      <c r="DD271" s="181"/>
      <c r="DF271" s="187"/>
      <c r="DG271" s="183"/>
      <c r="DH271" s="181"/>
      <c r="DJ271" s="180"/>
      <c r="DK271" s="183"/>
      <c r="DL271" s="184"/>
      <c r="DN271" s="179"/>
      <c r="DO271" s="183"/>
      <c r="DP271" s="181"/>
      <c r="DR271" s="187"/>
      <c r="DS271" s="183"/>
      <c r="DT271" s="181"/>
      <c r="DV271" s="187"/>
      <c r="DW271" s="183"/>
      <c r="DX271" s="181"/>
      <c r="DZ271" s="180"/>
      <c r="EA271" s="183"/>
      <c r="EB271" s="184"/>
      <c r="ED271" s="180"/>
      <c r="EE271" s="183"/>
      <c r="EF271" s="184"/>
      <c r="EH271" s="179"/>
      <c r="EI271" s="183"/>
      <c r="EJ271" s="181"/>
      <c r="EL271" s="187"/>
      <c r="EM271" s="183"/>
      <c r="EN271" s="181"/>
      <c r="EP271" s="187"/>
      <c r="EQ271" s="183"/>
      <c r="ER271" s="181"/>
      <c r="ET271" s="180"/>
      <c r="EU271" s="183"/>
      <c r="EV271" s="184"/>
      <c r="EX271" s="179"/>
      <c r="EY271" s="183"/>
      <c r="EZ271" s="181"/>
      <c r="FB271" s="187"/>
      <c r="FC271" s="183"/>
      <c r="FD271" s="181"/>
      <c r="FF271" s="187"/>
      <c r="FG271" s="183"/>
      <c r="FH271" s="181"/>
      <c r="FJ271" s="180"/>
      <c r="FK271" s="183"/>
      <c r="FL271" s="186"/>
      <c r="FM271" s="185"/>
    </row>
    <row r="272" spans="1:169" ht="3" customHeight="1">
      <c r="A272" s="185"/>
      <c r="B272" s="181"/>
      <c r="C272" s="180"/>
      <c r="D272" s="180"/>
      <c r="E272" s="183"/>
      <c r="F272" s="184"/>
      <c r="G272" s="180"/>
      <c r="H272" s="180"/>
      <c r="I272" s="183"/>
      <c r="J272" s="181"/>
      <c r="K272" s="180"/>
      <c r="L272" s="180"/>
      <c r="M272" s="183"/>
      <c r="N272" s="181"/>
      <c r="O272" s="180"/>
      <c r="P272" s="180"/>
      <c r="Q272" s="183"/>
      <c r="R272" s="181"/>
      <c r="S272" s="180"/>
      <c r="T272" s="180"/>
      <c r="U272" s="183"/>
      <c r="V272" s="184"/>
      <c r="W272" s="180"/>
      <c r="X272" s="180"/>
      <c r="Y272" s="183"/>
      <c r="Z272" s="181"/>
      <c r="AA272" s="180"/>
      <c r="AB272" s="180"/>
      <c r="AC272" s="183"/>
      <c r="AD272" s="181"/>
      <c r="AE272" s="180"/>
      <c r="AF272" s="180"/>
      <c r="AG272" s="183"/>
      <c r="AH272" s="181"/>
      <c r="AI272" s="180"/>
      <c r="AJ272" s="180"/>
      <c r="AK272" s="183"/>
      <c r="AL272" s="181"/>
      <c r="AM272" s="180"/>
      <c r="AN272" s="180"/>
      <c r="AO272" s="183"/>
      <c r="AP272" s="184"/>
      <c r="AQ272" s="180"/>
      <c r="AR272" s="180"/>
      <c r="AS272" s="183"/>
      <c r="AT272" s="181"/>
      <c r="AU272" s="180"/>
      <c r="AV272" s="180"/>
      <c r="AW272" s="183"/>
      <c r="AX272" s="181"/>
      <c r="AY272" s="180"/>
      <c r="AZ272" s="180"/>
      <c r="BA272" s="183"/>
      <c r="BB272" s="181"/>
      <c r="BC272" s="180"/>
      <c r="BD272" s="180"/>
      <c r="BE272" s="183"/>
      <c r="BF272" s="184"/>
      <c r="BG272" s="180"/>
      <c r="BH272" s="180"/>
      <c r="BI272" s="183"/>
      <c r="BJ272" s="181"/>
      <c r="BK272" s="180"/>
      <c r="BL272" s="180"/>
      <c r="BM272" s="183"/>
      <c r="BN272" s="184"/>
      <c r="BO272" s="180"/>
      <c r="BP272" s="180"/>
      <c r="BQ272" s="183"/>
      <c r="BR272" s="181"/>
      <c r="BS272" s="180"/>
      <c r="BT272" s="180"/>
      <c r="BU272" s="183"/>
      <c r="BV272" s="184"/>
      <c r="BW272" s="180"/>
      <c r="BX272" s="180"/>
      <c r="BY272" s="183"/>
      <c r="BZ272" s="181"/>
      <c r="CA272" s="180"/>
      <c r="CB272" s="180"/>
      <c r="CC272" s="183"/>
      <c r="CD272" s="181"/>
      <c r="CE272" s="180"/>
      <c r="CF272" s="180"/>
      <c r="CG272" s="183"/>
      <c r="CH272" s="181"/>
      <c r="CI272" s="180"/>
      <c r="CJ272" s="180"/>
      <c r="CK272" s="183"/>
      <c r="CL272" s="181"/>
      <c r="CM272" s="180"/>
      <c r="CN272" s="180"/>
      <c r="CO272" s="183"/>
      <c r="CP272" s="184"/>
      <c r="CQ272" s="180"/>
      <c r="CR272" s="180"/>
      <c r="CS272" s="183"/>
      <c r="CT272" s="181"/>
      <c r="CU272" s="180"/>
      <c r="CV272" s="180"/>
      <c r="CW272" s="183"/>
      <c r="CX272" s="181"/>
      <c r="CY272" s="180"/>
      <c r="CZ272" s="180"/>
      <c r="DA272" s="183"/>
      <c r="DB272" s="181"/>
      <c r="DC272" s="180"/>
      <c r="DD272" s="180"/>
      <c r="DE272" s="183"/>
      <c r="DF272" s="184"/>
      <c r="DG272" s="180"/>
      <c r="DH272" s="180"/>
      <c r="DI272" s="183"/>
      <c r="DJ272" s="181"/>
      <c r="DK272" s="180"/>
      <c r="DL272" s="180"/>
      <c r="DM272" s="185"/>
      <c r="DN272" s="184"/>
      <c r="DO272" s="180"/>
      <c r="DP272" s="180"/>
      <c r="DQ272" s="183"/>
      <c r="DR272" s="181"/>
      <c r="DS272" s="180"/>
      <c r="DT272" s="180"/>
      <c r="DU272" s="183"/>
      <c r="DV272" s="184"/>
      <c r="DW272" s="180"/>
      <c r="DX272" s="180"/>
      <c r="DY272" s="183"/>
      <c r="DZ272" s="181"/>
      <c r="EA272" s="180"/>
      <c r="EB272" s="180"/>
      <c r="EC272" s="183"/>
      <c r="ED272" s="181"/>
      <c r="EE272" s="180"/>
      <c r="EF272" s="180"/>
      <c r="EG272" s="183"/>
      <c r="EH272" s="181"/>
      <c r="EI272" s="180"/>
      <c r="EJ272" s="180"/>
      <c r="EK272" s="183"/>
      <c r="EL272" s="181"/>
      <c r="EM272" s="180"/>
      <c r="EN272" s="180"/>
      <c r="EO272" s="183"/>
      <c r="EP272" s="184"/>
      <c r="EQ272" s="180"/>
      <c r="ER272" s="180"/>
      <c r="ES272" s="183"/>
      <c r="ET272" s="181"/>
      <c r="EU272" s="180"/>
      <c r="EV272" s="180"/>
      <c r="EW272" s="183"/>
      <c r="EX272" s="181"/>
      <c r="EY272" s="180"/>
      <c r="EZ272" s="180"/>
      <c r="FA272" s="183"/>
      <c r="FB272" s="181"/>
      <c r="FC272" s="180"/>
      <c r="FD272" s="180"/>
      <c r="FE272" s="183"/>
      <c r="FF272" s="184"/>
      <c r="FG272" s="180"/>
      <c r="FH272" s="180"/>
      <c r="FI272" s="183"/>
      <c r="FJ272" s="181"/>
      <c r="FK272" s="180"/>
      <c r="FL272" s="178"/>
      <c r="FM272" s="182"/>
    </row>
    <row r="273" spans="1:169" ht="3" customHeight="1">
      <c r="A273" s="181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  <c r="CB273" s="180"/>
      <c r="CC273" s="180"/>
      <c r="CD273" s="180"/>
      <c r="CE273" s="180"/>
      <c r="CF273" s="180"/>
      <c r="CG273" s="180"/>
      <c r="CH273" s="180"/>
      <c r="CI273" s="180"/>
      <c r="CJ273" s="180"/>
      <c r="CK273" s="180"/>
      <c r="CL273" s="180"/>
      <c r="CM273" s="180"/>
      <c r="CN273" s="180"/>
      <c r="CO273" s="180"/>
      <c r="CP273" s="180"/>
      <c r="CQ273" s="180"/>
      <c r="CR273" s="180"/>
      <c r="CS273" s="180"/>
      <c r="CT273" s="180"/>
      <c r="CU273" s="180"/>
      <c r="CV273" s="180"/>
      <c r="CW273" s="180"/>
      <c r="CX273" s="180"/>
      <c r="CY273" s="180"/>
      <c r="CZ273" s="180"/>
      <c r="DA273" s="180"/>
      <c r="DB273" s="180"/>
      <c r="DC273" s="180"/>
      <c r="DD273" s="180"/>
      <c r="DE273" s="180"/>
      <c r="DF273" s="180"/>
      <c r="DG273" s="180"/>
      <c r="DH273" s="180"/>
      <c r="DI273" s="180"/>
      <c r="DJ273" s="180"/>
      <c r="DK273" s="180"/>
      <c r="DL273" s="180"/>
      <c r="DM273" s="180"/>
      <c r="DN273" s="180"/>
      <c r="DO273" s="180"/>
      <c r="DP273" s="180"/>
      <c r="DQ273" s="180"/>
      <c r="DR273" s="180"/>
      <c r="DS273" s="180"/>
      <c r="DT273" s="180"/>
      <c r="DU273" s="180"/>
      <c r="DV273" s="180"/>
      <c r="DW273" s="180"/>
      <c r="DX273" s="180"/>
      <c r="DY273" s="180"/>
      <c r="DZ273" s="180"/>
      <c r="EA273" s="180"/>
      <c r="EB273" s="180"/>
      <c r="EC273" s="180"/>
      <c r="ED273" s="180"/>
      <c r="EE273" s="180"/>
      <c r="EF273" s="180"/>
      <c r="EG273" s="180"/>
      <c r="EH273" s="180"/>
      <c r="EI273" s="180"/>
      <c r="EJ273" s="180"/>
      <c r="EK273" s="180"/>
      <c r="EL273" s="180"/>
      <c r="EM273" s="180"/>
      <c r="EN273" s="180"/>
      <c r="EO273" s="180"/>
      <c r="EP273" s="180"/>
      <c r="EQ273" s="180"/>
      <c r="ER273" s="180"/>
      <c r="ES273" s="180"/>
      <c r="ET273" s="180"/>
      <c r="EU273" s="180"/>
      <c r="EV273" s="180"/>
      <c r="EW273" s="180"/>
      <c r="EX273" s="180"/>
      <c r="EY273" s="180"/>
      <c r="EZ273" s="180"/>
      <c r="FA273" s="180"/>
      <c r="FB273" s="180"/>
      <c r="FC273" s="180"/>
      <c r="FD273" s="180"/>
      <c r="FE273" s="180"/>
      <c r="FF273" s="180"/>
      <c r="FG273" s="180"/>
      <c r="FH273" s="180"/>
      <c r="FI273" s="180"/>
      <c r="FJ273" s="180"/>
      <c r="FK273" s="180"/>
      <c r="FL273" s="179"/>
      <c r="FM273" s="178"/>
    </row>
    <row r="274" spans="1:169" ht="3" customHeight="1"/>
    <row r="275" spans="1:169" ht="3" customHeight="1"/>
    <row r="276" spans="1:169" ht="3" customHeight="1"/>
    <row r="277" spans="1:169" ht="3" customHeight="1"/>
  </sheetData>
  <mergeCells count="6">
    <mergeCell ref="BD255:DB259"/>
    <mergeCell ref="T18:ET22"/>
    <mergeCell ref="Q94:EV112"/>
    <mergeCell ref="AM116:DX136"/>
    <mergeCell ref="AU146:DN149"/>
    <mergeCell ref="AF162:EG166"/>
  </mergeCells>
  <printOptions horizontalCentered="1" verticalCentered="1"/>
  <pageMargins left="0.59055118110236227" right="0.19685039370078741" top="0.18" bottom="0.27559055118110237" header="0.21" footer="0.51181102362204722"/>
  <pageSetup paperSize="9" scale="95" orientation="portrait" horizontalDpi="4294967292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42"/>
  <sheetViews>
    <sheetView tabSelected="1" workbookViewId="0">
      <selection activeCell="G4" sqref="G4"/>
    </sheetView>
  </sheetViews>
  <sheetFormatPr defaultRowHeight="12.75"/>
  <cols>
    <col min="1" max="1" width="13.42578125" customWidth="1"/>
    <col min="2" max="2" width="6.7109375" customWidth="1"/>
    <col min="3" max="3" width="7.140625" customWidth="1"/>
    <col min="4" max="4" width="6.5703125" customWidth="1"/>
    <col min="5" max="5" width="7" customWidth="1"/>
    <col min="6" max="6" width="7.28515625" customWidth="1"/>
    <col min="7" max="7" width="6.85546875" customWidth="1"/>
    <col min="8" max="8" width="6.42578125" customWidth="1"/>
    <col min="9" max="9" width="6.85546875" customWidth="1"/>
    <col min="10" max="11" width="6.7109375" customWidth="1"/>
    <col min="12" max="12" width="7.42578125" customWidth="1"/>
  </cols>
  <sheetData>
    <row r="1" spans="1:12">
      <c r="A1" s="1458" t="s">
        <v>2388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</row>
    <row r="2" spans="1:12">
      <c r="A2" s="1314" t="s">
        <v>2369</v>
      </c>
      <c r="B2" s="1314"/>
      <c r="C2" s="1314"/>
      <c r="D2" s="1314"/>
      <c r="E2" s="1314"/>
      <c r="F2" s="1314"/>
      <c r="G2" s="1314"/>
      <c r="H2" s="1314"/>
      <c r="I2" s="1314"/>
      <c r="J2" s="1314"/>
      <c r="K2" s="1454"/>
      <c r="L2" s="1454"/>
    </row>
    <row r="3" spans="1:12">
      <c r="A3" s="1455" t="s">
        <v>2389</v>
      </c>
      <c r="B3" s="1456" t="s">
        <v>5</v>
      </c>
      <c r="C3" s="1455" t="s">
        <v>2390</v>
      </c>
      <c r="D3" s="1455"/>
      <c r="E3" s="1455"/>
      <c r="F3" s="1455"/>
      <c r="G3" s="1455"/>
      <c r="H3" s="1455"/>
      <c r="I3" s="1455"/>
      <c r="J3" s="1455"/>
      <c r="K3" s="1455"/>
      <c r="L3" s="1455"/>
    </row>
    <row r="4" spans="1:12" ht="38.25">
      <c r="A4" s="1455"/>
      <c r="B4" s="1457"/>
      <c r="C4" s="1315" t="s">
        <v>2391</v>
      </c>
      <c r="D4" s="1315" t="s">
        <v>2392</v>
      </c>
      <c r="E4" s="1315" t="s">
        <v>2393</v>
      </c>
      <c r="F4" s="1315" t="s">
        <v>2394</v>
      </c>
      <c r="G4" s="1315" t="s">
        <v>2395</v>
      </c>
      <c r="H4" s="1315" t="s">
        <v>2396</v>
      </c>
      <c r="I4" s="1315" t="s">
        <v>2397</v>
      </c>
      <c r="J4" s="1315" t="s">
        <v>2398</v>
      </c>
      <c r="K4" s="1315" t="s">
        <v>2399</v>
      </c>
      <c r="L4" s="1315" t="s">
        <v>2400</v>
      </c>
    </row>
    <row r="5" spans="1:12">
      <c r="A5" s="1316" t="s">
        <v>8</v>
      </c>
      <c r="B5" s="1316">
        <v>1</v>
      </c>
      <c r="C5" s="1316">
        <v>2</v>
      </c>
      <c r="D5" s="1316">
        <v>3</v>
      </c>
      <c r="E5" s="1316">
        <v>4</v>
      </c>
      <c r="F5" s="1316">
        <v>5</v>
      </c>
      <c r="G5" s="1316">
        <v>6</v>
      </c>
      <c r="H5" s="1316">
        <v>7</v>
      </c>
      <c r="I5" s="1316">
        <v>8</v>
      </c>
      <c r="J5" s="1316">
        <v>9</v>
      </c>
      <c r="K5" s="1316">
        <v>10</v>
      </c>
      <c r="L5" s="1316">
        <v>11</v>
      </c>
    </row>
    <row r="6" spans="1:12" ht="19.5" customHeight="1">
      <c r="A6" s="1317" t="s">
        <v>1622</v>
      </c>
      <c r="B6" s="1317">
        <v>8250</v>
      </c>
      <c r="C6" s="1317">
        <v>1123</v>
      </c>
      <c r="D6" s="1317">
        <v>891</v>
      </c>
      <c r="E6" s="1317">
        <v>1704</v>
      </c>
      <c r="F6" s="1317">
        <v>2168</v>
      </c>
      <c r="G6" s="1317">
        <v>1324</v>
      </c>
      <c r="H6" s="1317">
        <v>611</v>
      </c>
      <c r="I6" s="1317">
        <v>271</v>
      </c>
      <c r="J6" s="1317">
        <v>99</v>
      </c>
      <c r="K6" s="1317">
        <v>42</v>
      </c>
      <c r="L6" s="1317">
        <v>17</v>
      </c>
    </row>
    <row r="7" spans="1:12" ht="19.5" customHeight="1">
      <c r="A7" s="1317" t="s">
        <v>280</v>
      </c>
      <c r="B7" s="1317">
        <v>676</v>
      </c>
      <c r="C7" s="1317">
        <v>91</v>
      </c>
      <c r="D7" s="1317">
        <v>59</v>
      </c>
      <c r="E7" s="1317">
        <v>120</v>
      </c>
      <c r="F7" s="1317">
        <v>159</v>
      </c>
      <c r="G7" s="1317">
        <v>125</v>
      </c>
      <c r="H7" s="1317">
        <v>78</v>
      </c>
      <c r="I7" s="1317">
        <v>26</v>
      </c>
      <c r="J7" s="1317">
        <v>11</v>
      </c>
      <c r="K7" s="1317">
        <v>4</v>
      </c>
      <c r="L7" s="1317">
        <v>3</v>
      </c>
    </row>
    <row r="8" spans="1:12" ht="19.5" customHeight="1">
      <c r="A8" s="1317" t="s">
        <v>281</v>
      </c>
      <c r="B8" s="1317">
        <v>555</v>
      </c>
      <c r="C8" s="1317">
        <v>122</v>
      </c>
      <c r="D8" s="1317">
        <v>86</v>
      </c>
      <c r="E8" s="1317">
        <v>109</v>
      </c>
      <c r="F8" s="1317">
        <v>121</v>
      </c>
      <c r="G8" s="1317">
        <v>69</v>
      </c>
      <c r="H8" s="1317">
        <v>31</v>
      </c>
      <c r="I8" s="1317">
        <v>14</v>
      </c>
      <c r="J8" s="1317">
        <v>2</v>
      </c>
      <c r="K8" s="1317">
        <v>1</v>
      </c>
      <c r="L8" s="1317">
        <v>0</v>
      </c>
    </row>
    <row r="9" spans="1:12" ht="19.5" customHeight="1">
      <c r="A9" s="1317" t="s">
        <v>290</v>
      </c>
      <c r="B9" s="1317">
        <v>1055</v>
      </c>
      <c r="C9" s="1317">
        <v>227</v>
      </c>
      <c r="D9" s="1317">
        <v>119</v>
      </c>
      <c r="E9" s="1317">
        <v>168</v>
      </c>
      <c r="F9" s="1317">
        <v>239</v>
      </c>
      <c r="G9" s="1317">
        <v>162</v>
      </c>
      <c r="H9" s="1317">
        <v>88</v>
      </c>
      <c r="I9" s="1317">
        <v>32</v>
      </c>
      <c r="J9" s="1317">
        <v>14</v>
      </c>
      <c r="K9" s="1317">
        <v>5</v>
      </c>
      <c r="L9" s="1317">
        <v>1</v>
      </c>
    </row>
    <row r="10" spans="1:12" ht="19.5" customHeight="1">
      <c r="A10" s="1317" t="s">
        <v>282</v>
      </c>
      <c r="B10" s="1317">
        <v>412</v>
      </c>
      <c r="C10" s="1317">
        <v>84</v>
      </c>
      <c r="D10" s="1317">
        <v>53</v>
      </c>
      <c r="E10" s="1317">
        <v>72</v>
      </c>
      <c r="F10" s="1317">
        <v>103</v>
      </c>
      <c r="G10" s="1317">
        <v>61</v>
      </c>
      <c r="H10" s="1317">
        <v>22</v>
      </c>
      <c r="I10" s="1317">
        <v>14</v>
      </c>
      <c r="J10" s="1317">
        <v>1</v>
      </c>
      <c r="K10" s="1317">
        <v>1</v>
      </c>
      <c r="L10" s="1317">
        <v>1</v>
      </c>
    </row>
    <row r="11" spans="1:12" ht="19.5" customHeight="1">
      <c r="A11" s="1317" t="s">
        <v>283</v>
      </c>
      <c r="B11" s="1317">
        <v>355</v>
      </c>
      <c r="C11" s="1317">
        <v>92</v>
      </c>
      <c r="D11" s="1317">
        <v>44</v>
      </c>
      <c r="E11" s="1317">
        <v>49</v>
      </c>
      <c r="F11" s="1317">
        <v>74</v>
      </c>
      <c r="G11" s="1317">
        <v>64</v>
      </c>
      <c r="H11" s="1317">
        <v>19</v>
      </c>
      <c r="I11" s="1317">
        <v>10</v>
      </c>
      <c r="J11" s="1317">
        <v>1</v>
      </c>
      <c r="K11" s="1317">
        <v>1</v>
      </c>
      <c r="L11" s="1317">
        <v>1</v>
      </c>
    </row>
    <row r="12" spans="1:12" ht="19.5" customHeight="1">
      <c r="A12" s="1317" t="s">
        <v>284</v>
      </c>
      <c r="B12" s="1317">
        <v>727</v>
      </c>
      <c r="C12" s="1317">
        <v>77</v>
      </c>
      <c r="D12" s="1317">
        <v>61</v>
      </c>
      <c r="E12" s="1317">
        <v>159</v>
      </c>
      <c r="F12" s="1317">
        <v>202</v>
      </c>
      <c r="G12" s="1317">
        <v>138</v>
      </c>
      <c r="H12" s="1317">
        <v>56</v>
      </c>
      <c r="I12" s="1317">
        <v>27</v>
      </c>
      <c r="J12" s="1317">
        <v>5</v>
      </c>
      <c r="K12" s="1317">
        <v>2</v>
      </c>
      <c r="L12" s="1317">
        <v>0</v>
      </c>
    </row>
    <row r="13" spans="1:12" ht="19.5" customHeight="1">
      <c r="A13" s="1317" t="s">
        <v>285</v>
      </c>
      <c r="B13" s="1317">
        <v>690</v>
      </c>
      <c r="C13" s="1317">
        <v>153</v>
      </c>
      <c r="D13" s="1317">
        <v>84</v>
      </c>
      <c r="E13" s="1317">
        <v>137</v>
      </c>
      <c r="F13" s="1317">
        <v>167</v>
      </c>
      <c r="G13" s="1317">
        <v>86</v>
      </c>
      <c r="H13" s="1317">
        <v>40</v>
      </c>
      <c r="I13" s="1317">
        <v>16</v>
      </c>
      <c r="J13" s="1317">
        <v>3</v>
      </c>
      <c r="K13" s="1317">
        <v>2</v>
      </c>
      <c r="L13" s="1317">
        <v>2</v>
      </c>
    </row>
    <row r="14" spans="1:12" ht="19.5" customHeight="1">
      <c r="A14" s="1317" t="s">
        <v>288</v>
      </c>
      <c r="B14" s="1317">
        <v>495</v>
      </c>
      <c r="C14" s="1317">
        <v>91</v>
      </c>
      <c r="D14" s="1317">
        <v>49</v>
      </c>
      <c r="E14" s="1317">
        <v>94</v>
      </c>
      <c r="F14" s="1317">
        <v>118</v>
      </c>
      <c r="G14" s="1317">
        <v>77</v>
      </c>
      <c r="H14" s="1317">
        <v>44</v>
      </c>
      <c r="I14" s="1317">
        <v>15</v>
      </c>
      <c r="J14" s="1317">
        <v>5</v>
      </c>
      <c r="K14" s="1317">
        <v>2</v>
      </c>
      <c r="L14" s="1317">
        <v>0</v>
      </c>
    </row>
    <row r="15" spans="1:12" ht="19.5" customHeight="1">
      <c r="A15" s="1317" t="s">
        <v>286</v>
      </c>
      <c r="B15" s="1317">
        <v>744</v>
      </c>
      <c r="C15" s="1317">
        <v>107</v>
      </c>
      <c r="D15" s="1317">
        <v>92</v>
      </c>
      <c r="E15" s="1317">
        <v>163</v>
      </c>
      <c r="F15" s="1317">
        <v>167</v>
      </c>
      <c r="G15" s="1317">
        <v>133</v>
      </c>
      <c r="H15" s="1317">
        <v>54</v>
      </c>
      <c r="I15" s="1317">
        <v>16</v>
      </c>
      <c r="J15" s="1317">
        <v>9</v>
      </c>
      <c r="K15" s="1317">
        <v>1</v>
      </c>
      <c r="L15" s="1317">
        <v>2</v>
      </c>
    </row>
    <row r="16" spans="1:12" ht="19.5" customHeight="1">
      <c r="A16" s="1317" t="s">
        <v>287</v>
      </c>
      <c r="B16" s="1317">
        <v>428</v>
      </c>
      <c r="C16" s="1317">
        <v>70</v>
      </c>
      <c r="D16" s="1317">
        <v>54</v>
      </c>
      <c r="E16" s="1317">
        <v>79</v>
      </c>
      <c r="F16" s="1317">
        <v>110</v>
      </c>
      <c r="G16" s="1317">
        <v>73</v>
      </c>
      <c r="H16" s="1317">
        <v>26</v>
      </c>
      <c r="I16" s="1317">
        <v>11</v>
      </c>
      <c r="J16" s="1317">
        <v>4</v>
      </c>
      <c r="K16" s="1317">
        <v>1</v>
      </c>
      <c r="L16" s="1317">
        <v>0</v>
      </c>
    </row>
    <row r="17" spans="1:12" ht="19.5" customHeight="1">
      <c r="A17" s="1317" t="s">
        <v>289</v>
      </c>
      <c r="B17" s="1317">
        <v>792</v>
      </c>
      <c r="C17" s="1317">
        <v>123</v>
      </c>
      <c r="D17" s="1317">
        <v>84</v>
      </c>
      <c r="E17" s="1317">
        <v>145</v>
      </c>
      <c r="F17" s="1317">
        <v>186</v>
      </c>
      <c r="G17" s="1317">
        <v>123</v>
      </c>
      <c r="H17" s="1317">
        <v>72</v>
      </c>
      <c r="I17" s="1317">
        <v>41</v>
      </c>
      <c r="J17" s="1317">
        <v>9</v>
      </c>
      <c r="K17" s="1317">
        <v>5</v>
      </c>
      <c r="L17" s="1317">
        <v>4</v>
      </c>
    </row>
    <row r="18" spans="1:12" ht="19.5" customHeight="1">
      <c r="A18" s="1317" t="s">
        <v>291</v>
      </c>
      <c r="B18" s="1317">
        <v>621</v>
      </c>
      <c r="C18" s="1317">
        <v>103</v>
      </c>
      <c r="D18" s="1317">
        <v>72</v>
      </c>
      <c r="E18" s="1317">
        <v>139</v>
      </c>
      <c r="F18" s="1317">
        <v>142</v>
      </c>
      <c r="G18" s="1317">
        <v>89</v>
      </c>
      <c r="H18" s="1317">
        <v>49</v>
      </c>
      <c r="I18" s="1317">
        <v>19</v>
      </c>
      <c r="J18" s="1317">
        <v>5</v>
      </c>
      <c r="K18" s="1317">
        <v>2</v>
      </c>
      <c r="L18" s="1317">
        <v>1</v>
      </c>
    </row>
    <row r="19" spans="1:12" ht="19.5" customHeight="1">
      <c r="A19" s="1317" t="s">
        <v>292</v>
      </c>
      <c r="B19" s="1317">
        <v>392</v>
      </c>
      <c r="C19" s="1317">
        <v>96</v>
      </c>
      <c r="D19" s="1317">
        <v>36</v>
      </c>
      <c r="E19" s="1317">
        <v>70</v>
      </c>
      <c r="F19" s="1317">
        <v>88</v>
      </c>
      <c r="G19" s="1317">
        <v>64</v>
      </c>
      <c r="H19" s="1317">
        <v>31</v>
      </c>
      <c r="I19" s="1317">
        <v>4</v>
      </c>
      <c r="J19" s="1317">
        <v>2</v>
      </c>
      <c r="K19" s="1317">
        <v>1</v>
      </c>
      <c r="L19" s="1317">
        <v>0</v>
      </c>
    </row>
    <row r="20" spans="1:12" ht="19.5" customHeight="1">
      <c r="A20" s="1317" t="s">
        <v>2401</v>
      </c>
      <c r="B20" s="1317">
        <v>16192</v>
      </c>
      <c r="C20" s="1317">
        <v>2559</v>
      </c>
      <c r="D20" s="1317">
        <v>1784</v>
      </c>
      <c r="E20" s="1317">
        <v>3208</v>
      </c>
      <c r="F20" s="1317">
        <v>4044</v>
      </c>
      <c r="G20" s="1317">
        <v>2588</v>
      </c>
      <c r="H20" s="1317">
        <v>1221</v>
      </c>
      <c r="I20" s="1317">
        <v>516</v>
      </c>
      <c r="J20" s="1317">
        <v>170</v>
      </c>
      <c r="K20" s="1317">
        <v>70</v>
      </c>
      <c r="L20" s="1317">
        <v>32</v>
      </c>
    </row>
    <row r="21" spans="1:12">
      <c r="A21" s="1318"/>
      <c r="B21" s="1318"/>
      <c r="C21" s="1318"/>
      <c r="D21" s="1318"/>
      <c r="E21" s="1318"/>
      <c r="F21" s="1318"/>
      <c r="G21" s="1318"/>
      <c r="H21" s="1318"/>
      <c r="I21" s="1318"/>
      <c r="J21" s="1318"/>
      <c r="K21" s="1318"/>
      <c r="L21" s="1318"/>
    </row>
    <row r="22" spans="1:12">
      <c r="A22" s="1318"/>
      <c r="B22" s="1318"/>
      <c r="C22" s="1318"/>
      <c r="D22" s="1318"/>
      <c r="E22" s="1318"/>
      <c r="F22" s="1318"/>
      <c r="G22" s="1318"/>
      <c r="H22" s="1318"/>
      <c r="I22" s="1318"/>
      <c r="J22" s="1318"/>
      <c r="K22" s="1318"/>
      <c r="L22" s="1318"/>
    </row>
    <row r="23" spans="1:12">
      <c r="A23" s="1458" t="s">
        <v>2388</v>
      </c>
      <c r="B23" s="1458"/>
      <c r="C23" s="1458"/>
      <c r="D23" s="1458"/>
      <c r="E23" s="1458"/>
      <c r="F23" s="1458"/>
      <c r="G23" s="1458"/>
      <c r="H23" s="1458"/>
      <c r="I23" s="1458"/>
      <c r="J23" s="1458"/>
      <c r="K23" s="1458"/>
      <c r="L23" s="1458"/>
    </row>
    <row r="24" spans="1:12">
      <c r="A24" s="1314" t="s">
        <v>1162</v>
      </c>
      <c r="B24" s="1314"/>
      <c r="C24" s="1314"/>
      <c r="D24" s="1314"/>
      <c r="E24" s="1314"/>
      <c r="F24" s="1314"/>
      <c r="G24" s="1314"/>
      <c r="H24" s="1314"/>
      <c r="I24" s="1314"/>
      <c r="J24" s="1314"/>
      <c r="K24" s="1454"/>
      <c r="L24" s="1454"/>
    </row>
    <row r="25" spans="1:12">
      <c r="A25" s="1455" t="s">
        <v>2389</v>
      </c>
      <c r="B25" s="1456" t="s">
        <v>5</v>
      </c>
      <c r="C25" s="1455" t="s">
        <v>2390</v>
      </c>
      <c r="D25" s="1455"/>
      <c r="E25" s="1455"/>
      <c r="F25" s="1455"/>
      <c r="G25" s="1455"/>
      <c r="H25" s="1455"/>
      <c r="I25" s="1455"/>
      <c r="J25" s="1455"/>
      <c r="K25" s="1455"/>
      <c r="L25" s="1455"/>
    </row>
    <row r="26" spans="1:12" ht="38.25">
      <c r="A26" s="1455"/>
      <c r="B26" s="1457"/>
      <c r="C26" s="1315" t="s">
        <v>2391</v>
      </c>
      <c r="D26" s="1315" t="s">
        <v>2392</v>
      </c>
      <c r="E26" s="1315" t="s">
        <v>2393</v>
      </c>
      <c r="F26" s="1315" t="s">
        <v>2394</v>
      </c>
      <c r="G26" s="1315" t="s">
        <v>2395</v>
      </c>
      <c r="H26" s="1315" t="s">
        <v>2396</v>
      </c>
      <c r="I26" s="1315" t="s">
        <v>2397</v>
      </c>
      <c r="J26" s="1315" t="s">
        <v>2398</v>
      </c>
      <c r="K26" s="1315" t="s">
        <v>2399</v>
      </c>
      <c r="L26" s="1315" t="s">
        <v>2400</v>
      </c>
    </row>
    <row r="27" spans="1:12">
      <c r="A27" s="1316" t="s">
        <v>8</v>
      </c>
      <c r="B27" s="1316">
        <v>1</v>
      </c>
      <c r="C27" s="1316">
        <v>2</v>
      </c>
      <c r="D27" s="1316">
        <v>3</v>
      </c>
      <c r="E27" s="1316">
        <v>4</v>
      </c>
      <c r="F27" s="1316">
        <v>5</v>
      </c>
      <c r="G27" s="1316">
        <v>6</v>
      </c>
      <c r="H27" s="1316">
        <v>7</v>
      </c>
      <c r="I27" s="1316">
        <v>8</v>
      </c>
      <c r="J27" s="1316">
        <v>9</v>
      </c>
      <c r="K27" s="1316">
        <v>10</v>
      </c>
      <c r="L27" s="1316">
        <v>11</v>
      </c>
    </row>
    <row r="28" spans="1:12" ht="18" customHeight="1">
      <c r="A28" s="1317" t="s">
        <v>1622</v>
      </c>
      <c r="B28" s="1317">
        <v>3773</v>
      </c>
      <c r="C28" s="1317">
        <v>750</v>
      </c>
      <c r="D28" s="1317">
        <v>1005</v>
      </c>
      <c r="E28" s="1317">
        <v>909</v>
      </c>
      <c r="F28" s="1317">
        <v>511</v>
      </c>
      <c r="G28" s="1317">
        <v>303</v>
      </c>
      <c r="H28" s="1317">
        <v>168</v>
      </c>
      <c r="I28" s="1317">
        <v>69</v>
      </c>
      <c r="J28" s="1317">
        <v>33</v>
      </c>
      <c r="K28" s="1317">
        <v>17</v>
      </c>
      <c r="L28" s="1317">
        <v>8</v>
      </c>
    </row>
    <row r="29" spans="1:12" ht="18" customHeight="1">
      <c r="A29" s="1317" t="s">
        <v>280</v>
      </c>
      <c r="B29" s="1317">
        <v>134</v>
      </c>
      <c r="C29" s="1317">
        <v>23</v>
      </c>
      <c r="D29" s="1317">
        <v>41</v>
      </c>
      <c r="E29" s="1317">
        <v>28</v>
      </c>
      <c r="F29" s="1317">
        <v>24</v>
      </c>
      <c r="G29" s="1317">
        <v>9</v>
      </c>
      <c r="H29" s="1317">
        <v>4</v>
      </c>
      <c r="I29" s="1317">
        <v>5</v>
      </c>
      <c r="J29" s="1317">
        <v>0</v>
      </c>
      <c r="K29" s="1317">
        <v>0</v>
      </c>
      <c r="L29" s="1317">
        <v>0</v>
      </c>
    </row>
    <row r="30" spans="1:12" ht="18" customHeight="1">
      <c r="A30" s="1317" t="s">
        <v>281</v>
      </c>
      <c r="B30" s="1317">
        <v>138</v>
      </c>
      <c r="C30" s="1317">
        <v>46</v>
      </c>
      <c r="D30" s="1317">
        <v>34</v>
      </c>
      <c r="E30" s="1317">
        <v>32</v>
      </c>
      <c r="F30" s="1317">
        <v>18</v>
      </c>
      <c r="G30" s="1317">
        <v>5</v>
      </c>
      <c r="H30" s="1317">
        <v>1</v>
      </c>
      <c r="I30" s="1317">
        <v>1</v>
      </c>
      <c r="J30" s="1317">
        <v>0</v>
      </c>
      <c r="K30" s="1317">
        <v>0</v>
      </c>
      <c r="L30" s="1317">
        <v>1</v>
      </c>
    </row>
    <row r="31" spans="1:12" ht="18" customHeight="1">
      <c r="A31" s="1317" t="s">
        <v>290</v>
      </c>
      <c r="B31" s="1317">
        <v>311</v>
      </c>
      <c r="C31" s="1317">
        <v>81</v>
      </c>
      <c r="D31" s="1317">
        <v>91</v>
      </c>
      <c r="E31" s="1317">
        <v>74</v>
      </c>
      <c r="F31" s="1317">
        <v>32</v>
      </c>
      <c r="G31" s="1317">
        <v>20</v>
      </c>
      <c r="H31" s="1317">
        <v>8</v>
      </c>
      <c r="I31" s="1317">
        <v>2</v>
      </c>
      <c r="J31" s="1317">
        <v>1</v>
      </c>
      <c r="K31" s="1317">
        <v>1</v>
      </c>
      <c r="L31" s="1317">
        <v>1</v>
      </c>
    </row>
    <row r="32" spans="1:12" ht="18" customHeight="1">
      <c r="A32" s="1317" t="s">
        <v>282</v>
      </c>
      <c r="B32" s="1317">
        <v>108</v>
      </c>
      <c r="C32" s="1317">
        <v>28</v>
      </c>
      <c r="D32" s="1317">
        <v>29</v>
      </c>
      <c r="E32" s="1317">
        <v>24</v>
      </c>
      <c r="F32" s="1317">
        <v>14</v>
      </c>
      <c r="G32" s="1317">
        <v>6</v>
      </c>
      <c r="H32" s="1317">
        <v>5</v>
      </c>
      <c r="I32" s="1317">
        <v>1</v>
      </c>
      <c r="J32" s="1317">
        <v>0</v>
      </c>
      <c r="K32" s="1317">
        <v>1</v>
      </c>
      <c r="L32" s="1317">
        <v>0</v>
      </c>
    </row>
    <row r="33" spans="1:12" ht="18" customHeight="1">
      <c r="A33" s="1317" t="s">
        <v>283</v>
      </c>
      <c r="B33" s="1317">
        <v>75</v>
      </c>
      <c r="C33" s="1317">
        <v>22</v>
      </c>
      <c r="D33" s="1317">
        <v>18</v>
      </c>
      <c r="E33" s="1317">
        <v>17</v>
      </c>
      <c r="F33" s="1317">
        <v>10</v>
      </c>
      <c r="G33" s="1317">
        <v>4</v>
      </c>
      <c r="H33" s="1317">
        <v>2</v>
      </c>
      <c r="I33" s="1317">
        <v>2</v>
      </c>
      <c r="J33" s="1317">
        <v>0</v>
      </c>
      <c r="K33" s="1317">
        <v>0</v>
      </c>
      <c r="L33" s="1317">
        <v>0</v>
      </c>
    </row>
    <row r="34" spans="1:12" ht="18" customHeight="1">
      <c r="A34" s="1317" t="s">
        <v>284</v>
      </c>
      <c r="B34" s="1317">
        <v>178</v>
      </c>
      <c r="C34" s="1317">
        <v>36</v>
      </c>
      <c r="D34" s="1317">
        <v>44</v>
      </c>
      <c r="E34" s="1317">
        <v>53</v>
      </c>
      <c r="F34" s="1317">
        <v>25</v>
      </c>
      <c r="G34" s="1317">
        <v>11</v>
      </c>
      <c r="H34" s="1317">
        <v>4</v>
      </c>
      <c r="I34" s="1317">
        <v>3</v>
      </c>
      <c r="J34" s="1317">
        <v>1</v>
      </c>
      <c r="K34" s="1317">
        <v>1</v>
      </c>
      <c r="L34" s="1317">
        <v>0</v>
      </c>
    </row>
    <row r="35" spans="1:12" ht="18" customHeight="1">
      <c r="A35" s="1317" t="s">
        <v>285</v>
      </c>
      <c r="B35" s="1317">
        <v>128</v>
      </c>
      <c r="C35" s="1317">
        <v>39</v>
      </c>
      <c r="D35" s="1317">
        <v>34</v>
      </c>
      <c r="E35" s="1317">
        <v>25</v>
      </c>
      <c r="F35" s="1317">
        <v>13</v>
      </c>
      <c r="G35" s="1317">
        <v>10</v>
      </c>
      <c r="H35" s="1317">
        <v>4</v>
      </c>
      <c r="I35" s="1317">
        <v>2</v>
      </c>
      <c r="J35" s="1317">
        <v>1</v>
      </c>
      <c r="K35" s="1317">
        <v>0</v>
      </c>
      <c r="L35" s="1317">
        <v>0</v>
      </c>
    </row>
    <row r="36" spans="1:12" ht="18" customHeight="1">
      <c r="A36" s="1317" t="s">
        <v>288</v>
      </c>
      <c r="B36" s="1317">
        <v>109</v>
      </c>
      <c r="C36" s="1317">
        <v>36</v>
      </c>
      <c r="D36" s="1317">
        <v>29</v>
      </c>
      <c r="E36" s="1317">
        <v>23</v>
      </c>
      <c r="F36" s="1317">
        <v>4</v>
      </c>
      <c r="G36" s="1317">
        <v>11</v>
      </c>
      <c r="H36" s="1317">
        <v>3</v>
      </c>
      <c r="I36" s="1317">
        <v>1</v>
      </c>
      <c r="J36" s="1317">
        <v>1</v>
      </c>
      <c r="K36" s="1317">
        <v>1</v>
      </c>
      <c r="L36" s="1317">
        <v>0</v>
      </c>
    </row>
    <row r="37" spans="1:12" ht="18" customHeight="1">
      <c r="A37" s="1317" t="s">
        <v>286</v>
      </c>
      <c r="B37" s="1317">
        <v>152</v>
      </c>
      <c r="C37" s="1317">
        <v>34</v>
      </c>
      <c r="D37" s="1317">
        <v>38</v>
      </c>
      <c r="E37" s="1317">
        <v>42</v>
      </c>
      <c r="F37" s="1317">
        <v>16</v>
      </c>
      <c r="G37" s="1317">
        <v>8</v>
      </c>
      <c r="H37" s="1317">
        <v>9</v>
      </c>
      <c r="I37" s="1317">
        <v>5</v>
      </c>
      <c r="J37" s="1317">
        <v>0</v>
      </c>
      <c r="K37" s="1317">
        <v>0</v>
      </c>
      <c r="L37" s="1317">
        <v>0</v>
      </c>
    </row>
    <row r="38" spans="1:12" ht="18" customHeight="1">
      <c r="A38" s="1317" t="s">
        <v>287</v>
      </c>
      <c r="B38" s="1317">
        <v>79</v>
      </c>
      <c r="C38" s="1317">
        <v>19</v>
      </c>
      <c r="D38" s="1317">
        <v>21</v>
      </c>
      <c r="E38" s="1317">
        <v>15</v>
      </c>
      <c r="F38" s="1317">
        <v>14</v>
      </c>
      <c r="G38" s="1317">
        <v>8</v>
      </c>
      <c r="H38" s="1317">
        <v>2</v>
      </c>
      <c r="I38" s="1317">
        <v>0</v>
      </c>
      <c r="J38" s="1317">
        <v>0</v>
      </c>
      <c r="K38" s="1317">
        <v>0</v>
      </c>
      <c r="L38" s="1317">
        <v>0</v>
      </c>
    </row>
    <row r="39" spans="1:12" ht="18" customHeight="1">
      <c r="A39" s="1317" t="s">
        <v>289</v>
      </c>
      <c r="B39" s="1317">
        <v>187</v>
      </c>
      <c r="C39" s="1317">
        <v>33</v>
      </c>
      <c r="D39" s="1317">
        <v>52</v>
      </c>
      <c r="E39" s="1317">
        <v>40</v>
      </c>
      <c r="F39" s="1317">
        <v>30</v>
      </c>
      <c r="G39" s="1317">
        <v>22</v>
      </c>
      <c r="H39" s="1317">
        <v>7</v>
      </c>
      <c r="I39" s="1317">
        <v>1</v>
      </c>
      <c r="J39" s="1317">
        <v>2</v>
      </c>
      <c r="K39" s="1317">
        <v>0</v>
      </c>
      <c r="L39" s="1317">
        <v>0</v>
      </c>
    </row>
    <row r="40" spans="1:12" ht="18" customHeight="1">
      <c r="A40" s="1317" t="s">
        <v>291</v>
      </c>
      <c r="B40" s="1317">
        <v>193</v>
      </c>
      <c r="C40" s="1317">
        <v>61</v>
      </c>
      <c r="D40" s="1317">
        <v>52</v>
      </c>
      <c r="E40" s="1317">
        <v>38</v>
      </c>
      <c r="F40" s="1317">
        <v>28</v>
      </c>
      <c r="G40" s="1317">
        <v>7</v>
      </c>
      <c r="H40" s="1317">
        <v>3</v>
      </c>
      <c r="I40" s="1317">
        <v>4</v>
      </c>
      <c r="J40" s="1317">
        <v>0</v>
      </c>
      <c r="K40" s="1317">
        <v>0</v>
      </c>
      <c r="L40" s="1317">
        <v>0</v>
      </c>
    </row>
    <row r="41" spans="1:12" ht="18" customHeight="1">
      <c r="A41" s="1317" t="s">
        <v>292</v>
      </c>
      <c r="B41" s="1317">
        <v>133</v>
      </c>
      <c r="C41" s="1317">
        <v>36</v>
      </c>
      <c r="D41" s="1317">
        <v>46</v>
      </c>
      <c r="E41" s="1317">
        <v>26</v>
      </c>
      <c r="F41" s="1317">
        <v>18</v>
      </c>
      <c r="G41" s="1317">
        <v>6</v>
      </c>
      <c r="H41" s="1317">
        <v>1</v>
      </c>
      <c r="I41" s="1317">
        <v>0</v>
      </c>
      <c r="J41" s="1317">
        <v>0</v>
      </c>
      <c r="K41" s="1317">
        <v>0</v>
      </c>
      <c r="L41" s="1317">
        <v>0</v>
      </c>
    </row>
    <row r="42" spans="1:12" ht="18" customHeight="1">
      <c r="A42" s="1317" t="s">
        <v>2401</v>
      </c>
      <c r="B42" s="1317">
        <v>5698</v>
      </c>
      <c r="C42" s="1317">
        <v>1244</v>
      </c>
      <c r="D42" s="1317">
        <v>1534</v>
      </c>
      <c r="E42" s="1317">
        <v>1346</v>
      </c>
      <c r="F42" s="1317">
        <v>757</v>
      </c>
      <c r="G42" s="1317">
        <v>430</v>
      </c>
      <c r="H42" s="1317">
        <v>221</v>
      </c>
      <c r="I42" s="1317">
        <v>96</v>
      </c>
      <c r="J42" s="1317">
        <v>39</v>
      </c>
      <c r="K42" s="1317">
        <v>21</v>
      </c>
      <c r="L42" s="1317">
        <v>10</v>
      </c>
    </row>
  </sheetData>
  <mergeCells count="10">
    <mergeCell ref="K24:L24"/>
    <mergeCell ref="A25:A26"/>
    <mergeCell ref="B25:B26"/>
    <mergeCell ref="C25:L25"/>
    <mergeCell ref="A1:L1"/>
    <mergeCell ref="K2:L2"/>
    <mergeCell ref="A3:A4"/>
    <mergeCell ref="B3:B4"/>
    <mergeCell ref="C3:L3"/>
    <mergeCell ref="A23:L2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C00000"/>
  </sheetPr>
  <dimension ref="A1:O82"/>
  <sheetViews>
    <sheetView workbookViewId="0">
      <selection activeCell="I9" sqref="I9"/>
    </sheetView>
  </sheetViews>
  <sheetFormatPr defaultRowHeight="15" customHeight="1"/>
  <cols>
    <col min="1" max="1" width="4.28515625" style="53" customWidth="1"/>
    <col min="2" max="2" width="43.28515625" style="3" customWidth="1"/>
    <col min="3" max="3" width="12.85546875" style="206" customWidth="1"/>
    <col min="4" max="4" width="12.42578125" style="206" customWidth="1"/>
    <col min="5" max="5" width="11.7109375" style="206" customWidth="1"/>
    <col min="6" max="6" width="14.7109375" style="206" customWidth="1"/>
    <col min="7" max="8" width="9.140625" style="3"/>
    <col min="9" max="9" width="41.42578125" style="3" customWidth="1"/>
    <col min="10" max="10" width="9.140625" style="3"/>
    <col min="11" max="11" width="12.5703125" style="3" customWidth="1"/>
    <col min="12" max="12" width="10.85546875" style="3" customWidth="1"/>
    <col min="13" max="13" width="9.140625" style="3"/>
    <col min="14" max="14" width="11.140625" style="3" customWidth="1"/>
    <col min="15" max="16384" width="9.140625" style="3"/>
  </cols>
  <sheetData>
    <row r="1" spans="1:15" ht="15" customHeight="1">
      <c r="A1" s="1461" t="s">
        <v>679</v>
      </c>
      <c r="B1" s="1461"/>
      <c r="C1" s="1461"/>
      <c r="D1" s="1461"/>
      <c r="E1" s="1461"/>
      <c r="F1" s="1461"/>
    </row>
    <row r="2" spans="1:15" ht="15" customHeight="1">
      <c r="A2" s="142"/>
      <c r="B2" s="1459" t="s">
        <v>1211</v>
      </c>
      <c r="C2" s="1392"/>
      <c r="D2" s="1392"/>
      <c r="E2" s="1392"/>
      <c r="F2" s="123"/>
      <c r="H2"/>
      <c r="I2"/>
      <c r="J2"/>
      <c r="K2"/>
      <c r="L2"/>
      <c r="M2"/>
      <c r="N2"/>
      <c r="O2"/>
    </row>
    <row r="3" spans="1:15" ht="15" customHeight="1">
      <c r="A3" s="142"/>
      <c r="B3" s="1460" t="s">
        <v>686</v>
      </c>
      <c r="C3" s="1460"/>
      <c r="D3" s="1460"/>
      <c r="E3" s="1460"/>
      <c r="F3" s="1460"/>
      <c r="H3"/>
      <c r="I3"/>
      <c r="J3"/>
      <c r="K3"/>
      <c r="L3"/>
      <c r="M3"/>
      <c r="N3"/>
      <c r="O3"/>
    </row>
    <row r="4" spans="1:15" ht="38.25" customHeight="1">
      <c r="A4" s="167"/>
      <c r="B4" s="101"/>
      <c r="C4" s="109" t="s">
        <v>517</v>
      </c>
      <c r="D4" s="146" t="s">
        <v>175</v>
      </c>
      <c r="E4" s="146" t="s">
        <v>279</v>
      </c>
      <c r="F4" s="146" t="s">
        <v>192</v>
      </c>
      <c r="H4"/>
      <c r="I4"/>
      <c r="J4"/>
      <c r="K4"/>
      <c r="L4"/>
      <c r="M4"/>
      <c r="N4"/>
      <c r="O4"/>
    </row>
    <row r="5" spans="1:15" ht="15" customHeight="1">
      <c r="A5" s="167">
        <v>1</v>
      </c>
      <c r="B5" s="106" t="s">
        <v>112</v>
      </c>
      <c r="C5" s="545">
        <v>11510568.199999999</v>
      </c>
      <c r="D5" s="202">
        <v>11663588.49</v>
      </c>
      <c r="E5" s="202"/>
      <c r="F5" s="202" t="s">
        <v>241</v>
      </c>
      <c r="H5"/>
      <c r="I5"/>
      <c r="J5"/>
      <c r="K5"/>
      <c r="L5"/>
      <c r="M5"/>
      <c r="N5"/>
      <c r="O5"/>
    </row>
    <row r="6" spans="1:15" ht="15" customHeight="1">
      <c r="A6" s="167">
        <f>SUM(A5+1)</f>
        <v>2</v>
      </c>
      <c r="B6" s="106" t="s">
        <v>111</v>
      </c>
      <c r="C6" s="145"/>
      <c r="D6" s="203">
        <v>2834917.57</v>
      </c>
      <c r="E6" s="145" t="e">
        <f>D6/C6*100</f>
        <v>#DIV/0!</v>
      </c>
      <c r="F6" s="203">
        <f>D6-C6</f>
        <v>2834917.57</v>
      </c>
      <c r="H6"/>
      <c r="I6"/>
      <c r="J6"/>
      <c r="K6"/>
      <c r="L6"/>
      <c r="M6"/>
      <c r="N6"/>
      <c r="O6"/>
    </row>
    <row r="7" spans="1:15" ht="15" customHeight="1">
      <c r="A7" s="167">
        <f t="shared" ref="A7:A48" si="0">SUM(A6+1)</f>
        <v>3</v>
      </c>
      <c r="B7" s="106" t="s">
        <v>113</v>
      </c>
      <c r="C7" s="203">
        <v>11510568.199999999</v>
      </c>
      <c r="D7" s="203">
        <v>11663588.49</v>
      </c>
      <c r="E7" s="145">
        <f>D7/C7*100</f>
        <v>101.32938954308095</v>
      </c>
      <c r="F7" s="203">
        <f t="shared" ref="F7:F48" si="1">D7-C7</f>
        <v>153020.29000000097</v>
      </c>
      <c r="H7"/>
      <c r="I7"/>
      <c r="J7"/>
      <c r="K7"/>
      <c r="L7"/>
      <c r="M7"/>
      <c r="N7"/>
      <c r="O7"/>
    </row>
    <row r="8" spans="1:15" ht="15" customHeight="1">
      <c r="A8" s="167">
        <f t="shared" si="0"/>
        <v>4</v>
      </c>
      <c r="B8" s="106" t="s">
        <v>114</v>
      </c>
      <c r="C8" s="203">
        <v>8801481.0999999996</v>
      </c>
      <c r="D8" s="203">
        <v>8884612.8900000006</v>
      </c>
      <c r="E8" s="145">
        <f>D8/C8*100</f>
        <v>100.94452046258442</v>
      </c>
      <c r="F8" s="203">
        <f t="shared" si="1"/>
        <v>83131.790000000969</v>
      </c>
      <c r="H8"/>
      <c r="I8"/>
      <c r="J8"/>
      <c r="K8"/>
      <c r="L8"/>
      <c r="M8"/>
      <c r="N8"/>
      <c r="O8"/>
    </row>
    <row r="9" spans="1:15" ht="15" customHeight="1">
      <c r="A9" s="167">
        <f t="shared" si="0"/>
        <v>5</v>
      </c>
      <c r="B9" s="106" t="s">
        <v>115</v>
      </c>
      <c r="C9" s="203">
        <v>7685771.5999999996</v>
      </c>
      <c r="D9" s="203">
        <v>7836564.4199999999</v>
      </c>
      <c r="E9" s="145">
        <f t="shared" ref="E9:E48" si="2">D9/C9*100</f>
        <v>101.96197373338546</v>
      </c>
      <c r="F9" s="203">
        <f t="shared" si="1"/>
        <v>150792.8200000003</v>
      </c>
      <c r="H9"/>
      <c r="I9"/>
      <c r="J9"/>
      <c r="K9"/>
      <c r="L9"/>
      <c r="M9"/>
      <c r="N9"/>
      <c r="O9"/>
    </row>
    <row r="10" spans="1:15" ht="15" customHeight="1">
      <c r="A10" s="167">
        <f t="shared" si="0"/>
        <v>6</v>
      </c>
      <c r="B10" s="106" t="s">
        <v>116</v>
      </c>
      <c r="C10" s="203">
        <v>4794727.4000000004</v>
      </c>
      <c r="D10" s="203">
        <v>5091638.26</v>
      </c>
      <c r="E10" s="145">
        <f t="shared" si="2"/>
        <v>106.19244505954602</v>
      </c>
      <c r="F10" s="203">
        <f t="shared" si="1"/>
        <v>296910.8599999994</v>
      </c>
      <c r="H10"/>
      <c r="I10"/>
      <c r="J10"/>
      <c r="K10"/>
      <c r="L10"/>
      <c r="M10"/>
      <c r="N10"/>
      <c r="O10"/>
    </row>
    <row r="11" spans="1:15" ht="15" customHeight="1">
      <c r="A11" s="167">
        <f t="shared" si="0"/>
        <v>7</v>
      </c>
      <c r="B11" s="106" t="s">
        <v>117</v>
      </c>
      <c r="C11" s="203">
        <v>4794727.4000000004</v>
      </c>
      <c r="D11" s="203">
        <v>5091638.26</v>
      </c>
      <c r="E11" s="145">
        <f t="shared" si="2"/>
        <v>106.19244505954602</v>
      </c>
      <c r="F11" s="203">
        <f t="shared" si="1"/>
        <v>296910.8599999994</v>
      </c>
      <c r="H11"/>
      <c r="I11"/>
      <c r="J11"/>
      <c r="K11"/>
      <c r="L11"/>
      <c r="M11"/>
      <c r="N11"/>
      <c r="O11"/>
    </row>
    <row r="12" spans="1:15" ht="15" customHeight="1">
      <c r="A12" s="167">
        <f t="shared" si="0"/>
        <v>8</v>
      </c>
      <c r="B12" s="106" t="s">
        <v>518</v>
      </c>
      <c r="C12" s="203">
        <v>4643454.5999999996</v>
      </c>
      <c r="D12" s="203">
        <v>4824058.8</v>
      </c>
      <c r="E12" s="145">
        <f>D12/C12*100</f>
        <v>103.88943611077839</v>
      </c>
      <c r="F12" s="203">
        <f>D12-C12</f>
        <v>180604.20000000019</v>
      </c>
      <c r="H12"/>
      <c r="I12"/>
      <c r="J12"/>
      <c r="K12"/>
      <c r="L12"/>
      <c r="M12"/>
      <c r="N12"/>
      <c r="O12"/>
    </row>
    <row r="13" spans="1:15" ht="27.75" customHeight="1">
      <c r="A13" s="167">
        <f t="shared" si="0"/>
        <v>9</v>
      </c>
      <c r="B13" s="109" t="s">
        <v>104</v>
      </c>
      <c r="C13" s="203">
        <v>46030</v>
      </c>
      <c r="D13" s="203">
        <v>44580.25</v>
      </c>
      <c r="E13" s="145">
        <f t="shared" si="2"/>
        <v>96.850423636758634</v>
      </c>
      <c r="F13" s="203">
        <f t="shared" si="1"/>
        <v>-1449.75</v>
      </c>
      <c r="H13"/>
      <c r="I13"/>
      <c r="J13"/>
      <c r="K13"/>
      <c r="L13"/>
      <c r="M13"/>
      <c r="N13"/>
      <c r="O13"/>
    </row>
    <row r="14" spans="1:15" ht="27.75" customHeight="1">
      <c r="A14" s="167">
        <f t="shared" si="0"/>
        <v>10</v>
      </c>
      <c r="B14" s="118" t="s">
        <v>197</v>
      </c>
      <c r="C14" s="203">
        <v>74620</v>
      </c>
      <c r="D14" s="203">
        <v>86189.6</v>
      </c>
      <c r="E14" s="145">
        <f t="shared" si="2"/>
        <v>115.50469043151972</v>
      </c>
      <c r="F14" s="203">
        <f t="shared" si="1"/>
        <v>11569.600000000006</v>
      </c>
      <c r="H14"/>
      <c r="I14"/>
      <c r="J14"/>
      <c r="K14"/>
      <c r="L14"/>
      <c r="M14"/>
      <c r="N14"/>
      <c r="O14"/>
    </row>
    <row r="15" spans="1:15" ht="15" customHeight="1">
      <c r="A15" s="167">
        <f t="shared" si="0"/>
        <v>11</v>
      </c>
      <c r="B15" s="106" t="s">
        <v>198</v>
      </c>
      <c r="C15" s="410"/>
      <c r="D15" s="203">
        <v>729.8</v>
      </c>
      <c r="E15" s="145" t="e">
        <f t="shared" si="2"/>
        <v>#DIV/0!</v>
      </c>
      <c r="F15" s="203">
        <f t="shared" si="1"/>
        <v>729.8</v>
      </c>
      <c r="H15"/>
      <c r="I15"/>
      <c r="J15"/>
      <c r="K15"/>
      <c r="L15"/>
      <c r="M15"/>
      <c r="N15"/>
      <c r="O15"/>
    </row>
    <row r="16" spans="1:15" ht="15" customHeight="1">
      <c r="A16" s="167">
        <f t="shared" si="0"/>
        <v>12</v>
      </c>
      <c r="B16" s="106" t="s">
        <v>160</v>
      </c>
      <c r="C16" s="203">
        <v>434622.8</v>
      </c>
      <c r="D16" s="203">
        <v>539252.71</v>
      </c>
      <c r="E16" s="145">
        <f t="shared" si="2"/>
        <v>124.07372783940464</v>
      </c>
      <c r="F16" s="203">
        <f t="shared" si="1"/>
        <v>104629.90999999997</v>
      </c>
      <c r="H16"/>
      <c r="I16"/>
      <c r="J16"/>
      <c r="K16"/>
      <c r="L16"/>
      <c r="M16"/>
      <c r="N16"/>
      <c r="O16"/>
    </row>
    <row r="17" spans="1:15" ht="15" customHeight="1">
      <c r="A17" s="167">
        <f t="shared" si="0"/>
        <v>13</v>
      </c>
      <c r="B17" s="106" t="s">
        <v>118</v>
      </c>
      <c r="C17" s="203">
        <v>248100</v>
      </c>
      <c r="D17" s="203">
        <v>260263.9</v>
      </c>
      <c r="E17" s="145">
        <f t="shared" si="2"/>
        <v>104.90282144296654</v>
      </c>
      <c r="F17" s="203">
        <f t="shared" si="1"/>
        <v>12163.899999999994</v>
      </c>
      <c r="H17"/>
      <c r="I17"/>
      <c r="J17"/>
      <c r="K17"/>
      <c r="L17"/>
      <c r="M17"/>
      <c r="N17"/>
      <c r="O17"/>
    </row>
    <row r="18" spans="1:15" ht="15" customHeight="1">
      <c r="A18" s="167">
        <f t="shared" si="0"/>
        <v>14</v>
      </c>
      <c r="B18" s="106" t="s">
        <v>119</v>
      </c>
      <c r="C18" s="203">
        <v>256000</v>
      </c>
      <c r="D18" s="203">
        <v>266931.20000000001</v>
      </c>
      <c r="E18" s="145">
        <f t="shared" si="2"/>
        <v>104.27</v>
      </c>
      <c r="F18" s="203">
        <f t="shared" si="1"/>
        <v>10931.200000000012</v>
      </c>
      <c r="H18"/>
      <c r="I18"/>
      <c r="J18"/>
      <c r="K18"/>
      <c r="L18"/>
      <c r="M18"/>
      <c r="N18"/>
      <c r="O18"/>
    </row>
    <row r="19" spans="1:15" ht="15" customHeight="1">
      <c r="A19" s="167">
        <f t="shared" si="0"/>
        <v>15</v>
      </c>
      <c r="B19" s="106" t="s">
        <v>120</v>
      </c>
      <c r="C19" s="203">
        <v>256000</v>
      </c>
      <c r="D19" s="203">
        <v>266931.20000000001</v>
      </c>
      <c r="E19" s="145">
        <f t="shared" si="2"/>
        <v>104.27</v>
      </c>
      <c r="F19" s="203">
        <f t="shared" si="1"/>
        <v>10931.200000000012</v>
      </c>
      <c r="H19"/>
      <c r="I19"/>
      <c r="J19"/>
      <c r="K19"/>
      <c r="L19"/>
      <c r="M19"/>
      <c r="N19"/>
      <c r="O19"/>
    </row>
    <row r="20" spans="1:15" ht="15" customHeight="1">
      <c r="A20" s="167">
        <f t="shared" si="0"/>
        <v>16</v>
      </c>
      <c r="B20" s="106" t="s">
        <v>121</v>
      </c>
      <c r="C20" s="203">
        <v>256000</v>
      </c>
      <c r="D20" s="203">
        <v>266931.20000000001</v>
      </c>
      <c r="E20" s="145">
        <f t="shared" si="2"/>
        <v>104.27</v>
      </c>
      <c r="F20" s="203">
        <f t="shared" si="1"/>
        <v>10931.200000000012</v>
      </c>
      <c r="H20"/>
      <c r="I20"/>
      <c r="J20"/>
      <c r="K20"/>
      <c r="L20"/>
      <c r="M20"/>
      <c r="N20"/>
      <c r="O20"/>
    </row>
    <row r="21" spans="1:15" ht="15" customHeight="1">
      <c r="A21" s="167">
        <f t="shared" si="0"/>
        <v>17</v>
      </c>
      <c r="B21" s="106" t="s">
        <v>122</v>
      </c>
      <c r="C21" s="203">
        <v>2386944.2000000002</v>
      </c>
      <c r="D21" s="203">
        <v>2217731.06</v>
      </c>
      <c r="E21" s="145">
        <f t="shared" si="2"/>
        <v>92.910888323237714</v>
      </c>
      <c r="F21" s="203">
        <f t="shared" si="1"/>
        <v>-169213.14000000013</v>
      </c>
      <c r="H21"/>
      <c r="I21"/>
      <c r="J21"/>
      <c r="K21"/>
      <c r="L21"/>
      <c r="M21"/>
      <c r="N21"/>
      <c r="O21"/>
    </row>
    <row r="22" spans="1:15" ht="15" customHeight="1">
      <c r="A22" s="167">
        <f t="shared" si="0"/>
        <v>18</v>
      </c>
      <c r="B22" s="106" t="s">
        <v>123</v>
      </c>
      <c r="C22" s="203">
        <v>141450</v>
      </c>
      <c r="D22" s="203">
        <v>160873.66</v>
      </c>
      <c r="E22" s="145">
        <f t="shared" si="2"/>
        <v>113.73182043124778</v>
      </c>
      <c r="F22" s="203">
        <f t="shared" si="1"/>
        <v>19423.660000000003</v>
      </c>
      <c r="H22"/>
      <c r="I22"/>
      <c r="J22"/>
      <c r="K22"/>
      <c r="L22"/>
      <c r="M22"/>
      <c r="N22"/>
      <c r="O22"/>
    </row>
    <row r="23" spans="1:15" ht="15" customHeight="1">
      <c r="A23" s="167">
        <f t="shared" si="0"/>
        <v>19</v>
      </c>
      <c r="B23" s="106" t="s">
        <v>124</v>
      </c>
      <c r="C23" s="203">
        <v>1070403.8999999999</v>
      </c>
      <c r="D23" s="203">
        <v>816332.3</v>
      </c>
      <c r="E23" s="145">
        <f t="shared" si="2"/>
        <v>76.263950458327002</v>
      </c>
      <c r="F23" s="203">
        <f t="shared" si="1"/>
        <v>-254071.59999999986</v>
      </c>
      <c r="H23"/>
      <c r="I23"/>
      <c r="J23"/>
      <c r="K23"/>
      <c r="L23"/>
      <c r="M23"/>
      <c r="N23"/>
      <c r="O23"/>
    </row>
    <row r="24" spans="1:15" ht="15" customHeight="1">
      <c r="A24" s="167">
        <f t="shared" si="0"/>
        <v>20</v>
      </c>
      <c r="B24" s="106" t="s">
        <v>125</v>
      </c>
      <c r="C24" s="203">
        <v>240000</v>
      </c>
      <c r="D24" s="203">
        <v>248784.7</v>
      </c>
      <c r="E24" s="145">
        <f t="shared" si="2"/>
        <v>103.66029166666668</v>
      </c>
      <c r="F24" s="203">
        <f t="shared" si="1"/>
        <v>8784.7000000000116</v>
      </c>
      <c r="H24"/>
      <c r="I24"/>
      <c r="J24"/>
      <c r="K24"/>
      <c r="L24"/>
      <c r="M24"/>
      <c r="N24"/>
      <c r="O24"/>
    </row>
    <row r="25" spans="1:15" ht="15" customHeight="1">
      <c r="A25" s="167">
        <f t="shared" si="0"/>
        <v>21</v>
      </c>
      <c r="B25" s="106" t="s">
        <v>126</v>
      </c>
      <c r="C25" s="203">
        <v>174758.8</v>
      </c>
      <c r="D25" s="203">
        <v>189551.8</v>
      </c>
      <c r="E25" s="145">
        <f t="shared" si="2"/>
        <v>108.46480978354165</v>
      </c>
      <c r="F25" s="203">
        <f t="shared" si="1"/>
        <v>14793</v>
      </c>
      <c r="H25"/>
      <c r="I25"/>
      <c r="J25"/>
      <c r="K25"/>
      <c r="L25"/>
      <c r="M25"/>
      <c r="N25"/>
      <c r="O25"/>
    </row>
    <row r="26" spans="1:15" ht="15" customHeight="1">
      <c r="A26" s="167">
        <f t="shared" si="0"/>
        <v>22</v>
      </c>
      <c r="B26" s="106" t="s">
        <v>127</v>
      </c>
      <c r="C26" s="203">
        <v>100440</v>
      </c>
      <c r="D26" s="203">
        <v>120511.1</v>
      </c>
      <c r="E26" s="145">
        <f t="shared" si="2"/>
        <v>119.98317403424932</v>
      </c>
      <c r="F26" s="203">
        <f t="shared" si="1"/>
        <v>20071.100000000006</v>
      </c>
      <c r="H26"/>
      <c r="I26"/>
      <c r="J26"/>
      <c r="K26"/>
      <c r="L26"/>
      <c r="M26"/>
      <c r="N26"/>
      <c r="O26"/>
    </row>
    <row r="27" spans="1:15" ht="15" customHeight="1">
      <c r="A27" s="167">
        <f t="shared" si="0"/>
        <v>23</v>
      </c>
      <c r="B27" s="106" t="s">
        <v>128</v>
      </c>
      <c r="C27" s="395"/>
      <c r="D27" s="203">
        <v>524</v>
      </c>
      <c r="E27" s="145" t="e">
        <f t="shared" si="2"/>
        <v>#DIV/0!</v>
      </c>
      <c r="F27" s="203">
        <f t="shared" si="1"/>
        <v>524</v>
      </c>
      <c r="H27"/>
      <c r="I27"/>
      <c r="J27"/>
      <c r="K27"/>
      <c r="L27"/>
      <c r="M27"/>
      <c r="N27"/>
      <c r="O27"/>
    </row>
    <row r="28" spans="1:15" ht="15" customHeight="1">
      <c r="A28" s="167">
        <f t="shared" si="0"/>
        <v>24</v>
      </c>
      <c r="B28" s="106" t="s">
        <v>129</v>
      </c>
      <c r="C28" s="203">
        <v>572867.19999999995</v>
      </c>
      <c r="D28" s="203">
        <v>572867.19999999995</v>
      </c>
      <c r="E28" s="145">
        <f t="shared" si="2"/>
        <v>100</v>
      </c>
      <c r="F28" s="203">
        <f t="shared" si="1"/>
        <v>0</v>
      </c>
      <c r="H28"/>
      <c r="I28"/>
      <c r="J28"/>
      <c r="K28"/>
      <c r="L28"/>
      <c r="M28"/>
      <c r="N28"/>
      <c r="O28"/>
    </row>
    <row r="29" spans="1:15" ht="15" customHeight="1">
      <c r="A29" s="167">
        <f t="shared" si="0"/>
        <v>25</v>
      </c>
      <c r="B29" s="106" t="s">
        <v>130</v>
      </c>
      <c r="C29" s="203">
        <v>86524.3</v>
      </c>
      <c r="D29" s="203">
        <v>108286.3</v>
      </c>
      <c r="E29" s="145">
        <f t="shared" si="2"/>
        <v>125.15131587311311</v>
      </c>
      <c r="F29" s="203">
        <f t="shared" si="1"/>
        <v>21762</v>
      </c>
      <c r="H29"/>
      <c r="I29"/>
      <c r="J29"/>
      <c r="K29"/>
      <c r="L29"/>
      <c r="M29"/>
      <c r="N29"/>
      <c r="O29"/>
    </row>
    <row r="30" spans="1:15" ht="15" customHeight="1">
      <c r="A30" s="167">
        <f t="shared" si="0"/>
        <v>26</v>
      </c>
      <c r="B30" s="106" t="s">
        <v>193</v>
      </c>
      <c r="C30" s="203">
        <v>1115709.5</v>
      </c>
      <c r="D30" s="203">
        <v>1048048.47</v>
      </c>
      <c r="E30" s="145">
        <f t="shared" si="2"/>
        <v>93.935605101507164</v>
      </c>
      <c r="F30" s="203">
        <f t="shared" si="1"/>
        <v>-67661.030000000028</v>
      </c>
      <c r="H30"/>
      <c r="I30"/>
      <c r="J30"/>
      <c r="K30"/>
      <c r="L30"/>
      <c r="M30"/>
      <c r="N30"/>
      <c r="O30"/>
    </row>
    <row r="31" spans="1:15" ht="15" customHeight="1">
      <c r="A31" s="167">
        <f t="shared" si="0"/>
        <v>27</v>
      </c>
      <c r="B31" s="106" t="s">
        <v>161</v>
      </c>
      <c r="C31" s="145"/>
      <c r="D31" s="203"/>
      <c r="E31" s="145" t="e">
        <f t="shared" si="2"/>
        <v>#DIV/0!</v>
      </c>
      <c r="F31" s="203">
        <f t="shared" si="1"/>
        <v>0</v>
      </c>
      <c r="H31"/>
      <c r="I31"/>
      <c r="J31"/>
      <c r="K31"/>
      <c r="L31"/>
      <c r="M31"/>
      <c r="N31"/>
      <c r="O31"/>
    </row>
    <row r="32" spans="1:15" ht="15" customHeight="1">
      <c r="A32" s="167">
        <f t="shared" si="0"/>
        <v>28</v>
      </c>
      <c r="B32" s="106" t="s">
        <v>162</v>
      </c>
      <c r="C32" s="203">
        <v>520464</v>
      </c>
      <c r="D32" s="203">
        <v>597399</v>
      </c>
      <c r="E32" s="145">
        <f t="shared" si="2"/>
        <v>114.78200221340957</v>
      </c>
      <c r="F32" s="203">
        <f t="shared" si="1"/>
        <v>76935</v>
      </c>
      <c r="H32"/>
      <c r="I32"/>
      <c r="J32"/>
      <c r="K32"/>
      <c r="L32"/>
      <c r="M32"/>
      <c r="N32"/>
      <c r="O32"/>
    </row>
    <row r="33" spans="1:15" ht="15" customHeight="1">
      <c r="A33" s="167">
        <f t="shared" si="0"/>
        <v>29</v>
      </c>
      <c r="B33" s="106" t="s">
        <v>105</v>
      </c>
      <c r="C33" s="203">
        <v>16380</v>
      </c>
      <c r="D33" s="203">
        <v>9152</v>
      </c>
      <c r="E33" s="145">
        <f t="shared" si="2"/>
        <v>55.873015873015873</v>
      </c>
      <c r="F33" s="203">
        <f t="shared" si="1"/>
        <v>-7228</v>
      </c>
      <c r="H33"/>
      <c r="I33"/>
      <c r="J33"/>
      <c r="K33"/>
      <c r="L33"/>
      <c r="M33"/>
      <c r="N33"/>
      <c r="O33"/>
    </row>
    <row r="34" spans="1:15" ht="15" customHeight="1">
      <c r="A34" s="167">
        <f t="shared" si="0"/>
        <v>30</v>
      </c>
      <c r="B34" s="106" t="s">
        <v>163</v>
      </c>
      <c r="C34" s="203">
        <v>20224</v>
      </c>
      <c r="D34" s="203">
        <v>33651.199999999997</v>
      </c>
      <c r="E34" s="145">
        <f t="shared" si="2"/>
        <v>166.39240506329111</v>
      </c>
      <c r="F34" s="203">
        <f t="shared" si="1"/>
        <v>13427.199999999997</v>
      </c>
      <c r="H34"/>
      <c r="I34"/>
      <c r="J34"/>
      <c r="K34"/>
      <c r="L34"/>
      <c r="M34"/>
      <c r="N34"/>
      <c r="O34"/>
    </row>
    <row r="35" spans="1:15" ht="15" customHeight="1">
      <c r="A35" s="167">
        <f t="shared" si="0"/>
        <v>31</v>
      </c>
      <c r="B35" s="106" t="s">
        <v>164</v>
      </c>
      <c r="C35" s="203">
        <v>558641.5</v>
      </c>
      <c r="D35" s="203">
        <v>407846.27</v>
      </c>
      <c r="E35" s="145">
        <f t="shared" si="2"/>
        <v>73.006797740590343</v>
      </c>
      <c r="F35" s="203">
        <f t="shared" si="1"/>
        <v>-150795.22999999998</v>
      </c>
      <c r="H35"/>
      <c r="I35"/>
      <c r="J35"/>
      <c r="K35"/>
      <c r="L35"/>
      <c r="M35"/>
      <c r="N35"/>
      <c r="O35"/>
    </row>
    <row r="36" spans="1:15" ht="15" customHeight="1">
      <c r="A36" s="167">
        <f t="shared" si="0"/>
        <v>32</v>
      </c>
      <c r="B36" s="106" t="s">
        <v>166</v>
      </c>
      <c r="C36" s="203">
        <v>2503087.1</v>
      </c>
      <c r="D36" s="203">
        <v>2504112.2999999998</v>
      </c>
      <c r="E36" s="145">
        <f t="shared" si="2"/>
        <v>100.04095742413438</v>
      </c>
      <c r="F36" s="203">
        <f t="shared" si="1"/>
        <v>1025.1999999997206</v>
      </c>
      <c r="H36"/>
      <c r="I36"/>
      <c r="J36"/>
      <c r="K36"/>
      <c r="L36"/>
      <c r="M36"/>
      <c r="N36"/>
      <c r="O36"/>
    </row>
    <row r="37" spans="1:15" ht="15" customHeight="1">
      <c r="A37" s="167">
        <f t="shared" si="0"/>
        <v>33</v>
      </c>
      <c r="B37" s="106" t="s">
        <v>519</v>
      </c>
      <c r="C37" s="203">
        <v>2481099.7000000002</v>
      </c>
      <c r="D37" s="203">
        <v>2481099.7000000002</v>
      </c>
      <c r="E37" s="145">
        <f t="shared" si="2"/>
        <v>100</v>
      </c>
      <c r="F37" s="203">
        <f t="shared" si="1"/>
        <v>0</v>
      </c>
      <c r="H37"/>
      <c r="I37"/>
      <c r="J37"/>
      <c r="K37"/>
      <c r="L37"/>
      <c r="M37"/>
      <c r="N37"/>
      <c r="O37"/>
    </row>
    <row r="38" spans="1:15" ht="15" customHeight="1">
      <c r="A38" s="167">
        <f t="shared" si="0"/>
        <v>34</v>
      </c>
      <c r="B38" s="106" t="s">
        <v>106</v>
      </c>
      <c r="C38" s="203">
        <v>21987.4</v>
      </c>
      <c r="D38" s="203">
        <v>23012.6</v>
      </c>
      <c r="E38" s="145">
        <f t="shared" si="2"/>
        <v>104.66267043852386</v>
      </c>
      <c r="F38" s="203">
        <f t="shared" si="1"/>
        <v>1025.1999999999971</v>
      </c>
      <c r="H38"/>
      <c r="I38"/>
      <c r="J38"/>
      <c r="K38"/>
      <c r="L38"/>
      <c r="M38"/>
      <c r="N38"/>
      <c r="O38"/>
    </row>
    <row r="39" spans="1:15" ht="15" customHeight="1">
      <c r="A39" s="167">
        <f t="shared" si="0"/>
        <v>35</v>
      </c>
      <c r="B39" s="106" t="s">
        <v>520</v>
      </c>
      <c r="C39" s="145"/>
      <c r="D39" s="203"/>
      <c r="E39" s="145" t="e">
        <f t="shared" si="2"/>
        <v>#DIV/0!</v>
      </c>
      <c r="F39" s="203">
        <f t="shared" si="1"/>
        <v>0</v>
      </c>
      <c r="H39"/>
      <c r="I39"/>
      <c r="J39"/>
      <c r="K39"/>
      <c r="L39"/>
      <c r="M39"/>
      <c r="N39"/>
      <c r="O39"/>
    </row>
    <row r="40" spans="1:15" ht="15" customHeight="1">
      <c r="A40" s="167">
        <f t="shared" si="0"/>
        <v>36</v>
      </c>
      <c r="B40" s="106" t="s">
        <v>194</v>
      </c>
      <c r="C40" s="203">
        <v>206000</v>
      </c>
      <c r="D40" s="203">
        <v>274863.3</v>
      </c>
      <c r="E40" s="145">
        <f t="shared" si="2"/>
        <v>133.42878640776698</v>
      </c>
      <c r="F40" s="203">
        <f t="shared" si="1"/>
        <v>68863.299999999988</v>
      </c>
      <c r="H40"/>
      <c r="I40"/>
      <c r="J40"/>
      <c r="K40"/>
      <c r="L40"/>
      <c r="M40"/>
      <c r="N40"/>
      <c r="O40"/>
    </row>
    <row r="41" spans="1:15" ht="15" customHeight="1">
      <c r="A41" s="167">
        <f t="shared" si="0"/>
        <v>37</v>
      </c>
      <c r="B41" s="106" t="s">
        <v>165</v>
      </c>
      <c r="C41" s="203">
        <v>206000</v>
      </c>
      <c r="D41" s="203">
        <v>274863.3</v>
      </c>
      <c r="E41" s="145">
        <f t="shared" si="2"/>
        <v>133.42878640776698</v>
      </c>
      <c r="F41" s="203">
        <f t="shared" si="1"/>
        <v>68863.299999999988</v>
      </c>
      <c r="H41"/>
      <c r="I41"/>
      <c r="J41"/>
      <c r="K41"/>
      <c r="L41"/>
      <c r="M41"/>
      <c r="N41"/>
      <c r="O41"/>
    </row>
    <row r="42" spans="1:15" ht="15" customHeight="1">
      <c r="A42" s="167">
        <f t="shared" si="0"/>
        <v>38</v>
      </c>
      <c r="B42" s="106" t="s">
        <v>108</v>
      </c>
      <c r="C42" s="203">
        <v>13593304.57</v>
      </c>
      <c r="D42" s="203">
        <v>13367267.77</v>
      </c>
      <c r="E42" s="145">
        <f t="shared" si="2"/>
        <v>98.337146064549628</v>
      </c>
      <c r="F42" s="203">
        <f t="shared" si="1"/>
        <v>-226036.80000000075</v>
      </c>
      <c r="H42"/>
      <c r="I42"/>
      <c r="J42"/>
      <c r="K42"/>
      <c r="L42"/>
      <c r="M42"/>
      <c r="N42"/>
      <c r="O42"/>
    </row>
    <row r="43" spans="1:15" ht="15" customHeight="1">
      <c r="A43" s="167">
        <f t="shared" si="0"/>
        <v>39</v>
      </c>
      <c r="B43" s="106" t="s">
        <v>107</v>
      </c>
      <c r="C43" s="203">
        <v>10482904.869999999</v>
      </c>
      <c r="D43" s="203">
        <v>10256868.07</v>
      </c>
      <c r="E43" s="145">
        <f t="shared" si="2"/>
        <v>97.843757977363012</v>
      </c>
      <c r="F43" s="203">
        <f t="shared" si="1"/>
        <v>-226036.79999999888</v>
      </c>
      <c r="H43"/>
      <c r="I43"/>
      <c r="J43"/>
      <c r="K43"/>
      <c r="L43"/>
      <c r="M43"/>
      <c r="N43"/>
      <c r="O43"/>
    </row>
    <row r="44" spans="1:15" ht="15" customHeight="1">
      <c r="A44" s="167">
        <f t="shared" si="0"/>
        <v>40</v>
      </c>
      <c r="B44" s="106" t="s">
        <v>521</v>
      </c>
      <c r="C44" s="203">
        <v>629300</v>
      </c>
      <c r="D44" s="203">
        <v>629300</v>
      </c>
      <c r="E44" s="145">
        <f t="shared" si="2"/>
        <v>100</v>
      </c>
      <c r="F44" s="203">
        <f t="shared" si="1"/>
        <v>0</v>
      </c>
      <c r="H44"/>
      <c r="I44"/>
      <c r="J44"/>
      <c r="K44"/>
      <c r="L44"/>
      <c r="M44"/>
      <c r="N44"/>
      <c r="O44"/>
    </row>
    <row r="45" spans="1:15" ht="15" customHeight="1">
      <c r="A45" s="167">
        <f t="shared" si="0"/>
        <v>41</v>
      </c>
      <c r="B45" s="106" t="s">
        <v>522</v>
      </c>
      <c r="C45" s="203">
        <v>2481099.7000000002</v>
      </c>
      <c r="D45" s="203">
        <v>2481099.7000000002</v>
      </c>
      <c r="E45" s="145">
        <f t="shared" si="2"/>
        <v>100</v>
      </c>
      <c r="F45" s="203">
        <f t="shared" si="1"/>
        <v>0</v>
      </c>
      <c r="H45"/>
      <c r="I45"/>
      <c r="J45"/>
      <c r="K45"/>
      <c r="L45"/>
      <c r="M45"/>
      <c r="N45"/>
      <c r="O45"/>
    </row>
    <row r="46" spans="1:15" ht="15" customHeight="1">
      <c r="A46" s="167">
        <f t="shared" si="0"/>
        <v>42</v>
      </c>
      <c r="B46" s="106" t="s">
        <v>109</v>
      </c>
      <c r="C46" s="203"/>
      <c r="D46" s="203"/>
      <c r="E46" s="145" t="e">
        <f t="shared" si="2"/>
        <v>#DIV/0!</v>
      </c>
      <c r="F46" s="203">
        <f t="shared" si="1"/>
        <v>0</v>
      </c>
      <c r="H46"/>
      <c r="I46"/>
      <c r="J46"/>
      <c r="K46"/>
      <c r="L46"/>
      <c r="M46"/>
      <c r="N46"/>
      <c r="O46"/>
    </row>
    <row r="47" spans="1:15" ht="15" customHeight="1">
      <c r="A47" s="167">
        <f t="shared" si="0"/>
        <v>43</v>
      </c>
      <c r="B47" s="105" t="s">
        <v>520</v>
      </c>
      <c r="C47" s="204"/>
      <c r="D47" s="205"/>
      <c r="E47" s="145" t="e">
        <f t="shared" si="2"/>
        <v>#DIV/0!</v>
      </c>
      <c r="F47" s="205">
        <f t="shared" si="1"/>
        <v>0</v>
      </c>
      <c r="H47"/>
      <c r="I47"/>
      <c r="J47"/>
      <c r="K47"/>
      <c r="L47"/>
      <c r="M47"/>
      <c r="N47"/>
      <c r="O47"/>
    </row>
    <row r="48" spans="1:15" ht="15" customHeight="1">
      <c r="A48" s="167">
        <f t="shared" si="0"/>
        <v>44</v>
      </c>
      <c r="B48" s="106" t="s">
        <v>110</v>
      </c>
      <c r="C48" s="144">
        <v>-1444930.17</v>
      </c>
      <c r="D48" s="144">
        <v>1131238.29</v>
      </c>
      <c r="E48" s="145">
        <f t="shared" si="2"/>
        <v>-78.290170244005637</v>
      </c>
      <c r="F48" s="203">
        <f t="shared" si="1"/>
        <v>2576168.46</v>
      </c>
      <c r="H48"/>
      <c r="I48"/>
      <c r="J48"/>
      <c r="K48"/>
      <c r="L48"/>
      <c r="M48"/>
      <c r="N48"/>
      <c r="O48"/>
    </row>
    <row r="49" spans="1:15" ht="15" customHeight="1">
      <c r="A49" s="54"/>
      <c r="E49" s="207"/>
      <c r="F49" s="208"/>
      <c r="H49"/>
      <c r="I49"/>
      <c r="J49"/>
      <c r="K49"/>
      <c r="L49"/>
      <c r="M49"/>
      <c r="N49"/>
      <c r="O49"/>
    </row>
    <row r="50" spans="1:15" ht="15" customHeight="1">
      <c r="A50" s="54"/>
      <c r="E50" s="207"/>
      <c r="F50" s="208"/>
      <c r="H50"/>
      <c r="I50"/>
      <c r="J50"/>
      <c r="K50"/>
      <c r="L50"/>
      <c r="M50"/>
      <c r="N50"/>
      <c r="O50"/>
    </row>
    <row r="51" spans="1:15" ht="15" customHeight="1">
      <c r="A51" s="54"/>
      <c r="E51" s="207"/>
      <c r="F51" s="208"/>
      <c r="H51"/>
      <c r="I51"/>
      <c r="J51"/>
      <c r="K51"/>
      <c r="L51"/>
      <c r="M51"/>
      <c r="N51"/>
      <c r="O51"/>
    </row>
    <row r="52" spans="1:15" ht="15" customHeight="1">
      <c r="A52" s="54"/>
      <c r="C52" s="209"/>
      <c r="E52" s="207"/>
      <c r="F52" s="208"/>
      <c r="H52"/>
      <c r="I52"/>
      <c r="J52"/>
      <c r="K52"/>
      <c r="L52"/>
      <c r="M52"/>
      <c r="N52"/>
      <c r="O52"/>
    </row>
    <row r="53" spans="1:15" ht="15" customHeight="1">
      <c r="A53" s="1386">
        <v>26</v>
      </c>
      <c r="B53" s="1386"/>
      <c r="C53" s="1386"/>
      <c r="D53" s="1386"/>
      <c r="E53" s="1386"/>
      <c r="F53" s="1386"/>
      <c r="H53"/>
      <c r="I53"/>
      <c r="J53"/>
      <c r="K53"/>
      <c r="L53"/>
      <c r="M53"/>
      <c r="N53"/>
      <c r="O53"/>
    </row>
    <row r="54" spans="1:15" ht="15" customHeight="1">
      <c r="A54" s="54"/>
      <c r="E54" s="210"/>
      <c r="H54"/>
      <c r="I54"/>
      <c r="J54"/>
      <c r="K54"/>
      <c r="L54"/>
      <c r="M54"/>
      <c r="N54"/>
      <c r="O54"/>
    </row>
    <row r="55" spans="1:15" ht="15" customHeight="1">
      <c r="A55" s="54"/>
      <c r="E55" s="210"/>
      <c r="H55"/>
      <c r="I55"/>
      <c r="J55"/>
      <c r="K55"/>
      <c r="L55"/>
      <c r="M55"/>
      <c r="N55"/>
      <c r="O55"/>
    </row>
    <row r="56" spans="1:15" ht="15" customHeight="1">
      <c r="A56" s="54"/>
      <c r="E56" s="207"/>
      <c r="F56" s="208"/>
      <c r="H56"/>
      <c r="I56"/>
      <c r="J56"/>
      <c r="K56"/>
      <c r="L56"/>
      <c r="M56"/>
      <c r="N56"/>
      <c r="O56"/>
    </row>
    <row r="57" spans="1:15" ht="15" customHeight="1">
      <c r="A57" s="54"/>
      <c r="E57" s="210"/>
      <c r="H57"/>
      <c r="I57"/>
      <c r="J57"/>
      <c r="K57"/>
      <c r="L57"/>
      <c r="M57"/>
      <c r="N57"/>
      <c r="O57"/>
    </row>
    <row r="58" spans="1:15" ht="15" customHeight="1">
      <c r="A58" s="54"/>
      <c r="E58" s="210"/>
    </row>
    <row r="59" spans="1:15" ht="15" customHeight="1">
      <c r="A59" s="54"/>
      <c r="E59" s="210"/>
    </row>
    <row r="60" spans="1:15" ht="15" customHeight="1">
      <c r="A60" s="54"/>
      <c r="E60" s="210"/>
    </row>
    <row r="61" spans="1:15" ht="15" customHeight="1">
      <c r="A61" s="54"/>
      <c r="E61" s="210"/>
    </row>
    <row r="62" spans="1:15" ht="15" customHeight="1">
      <c r="A62" s="54"/>
      <c r="E62" s="210"/>
    </row>
    <row r="63" spans="1:15" ht="15" customHeight="1">
      <c r="A63" s="54"/>
      <c r="E63" s="210"/>
    </row>
    <row r="64" spans="1:15" ht="15" customHeight="1">
      <c r="A64" s="54"/>
      <c r="E64" s="210"/>
    </row>
    <row r="65" spans="1:5" ht="15" customHeight="1">
      <c r="A65" s="54"/>
      <c r="E65" s="210"/>
    </row>
    <row r="66" spans="1:5" ht="15" customHeight="1">
      <c r="A66" s="54"/>
      <c r="E66" s="210"/>
    </row>
    <row r="67" spans="1:5" ht="15" customHeight="1">
      <c r="A67" s="54"/>
      <c r="E67" s="210"/>
    </row>
    <row r="68" spans="1:5" ht="15" customHeight="1">
      <c r="A68" s="54"/>
      <c r="E68" s="210"/>
    </row>
    <row r="69" spans="1:5" ht="15" customHeight="1">
      <c r="A69" s="54"/>
      <c r="E69" s="210"/>
    </row>
    <row r="70" spans="1:5" ht="15" customHeight="1">
      <c r="A70" s="54"/>
    </row>
    <row r="71" spans="1:5" ht="15" customHeight="1">
      <c r="A71" s="54"/>
    </row>
    <row r="72" spans="1:5" ht="15" customHeight="1">
      <c r="A72" s="54"/>
    </row>
    <row r="73" spans="1:5" ht="15" customHeight="1">
      <c r="A73" s="54"/>
    </row>
    <row r="74" spans="1:5" ht="15" customHeight="1">
      <c r="A74" s="54"/>
    </row>
    <row r="75" spans="1:5" ht="15" customHeight="1">
      <c r="A75" s="54"/>
    </row>
    <row r="76" spans="1:5" ht="15" customHeight="1">
      <c r="A76" s="54"/>
    </row>
    <row r="77" spans="1:5" ht="15" customHeight="1">
      <c r="A77" s="54"/>
    </row>
    <row r="78" spans="1:5" ht="15" customHeight="1">
      <c r="A78" s="54"/>
    </row>
    <row r="79" spans="1:5" ht="15" customHeight="1">
      <c r="A79" s="54"/>
    </row>
    <row r="80" spans="1:5" ht="15" customHeight="1">
      <c r="A80" s="54"/>
    </row>
    <row r="81" spans="1:1" ht="15" customHeight="1">
      <c r="A81" s="54"/>
    </row>
    <row r="82" spans="1:1" ht="15" customHeight="1">
      <c r="A82" s="54"/>
    </row>
  </sheetData>
  <mergeCells count="4">
    <mergeCell ref="B2:E2"/>
    <mergeCell ref="B3:F3"/>
    <mergeCell ref="A53:F53"/>
    <mergeCell ref="A1:F1"/>
  </mergeCells>
  <phoneticPr fontId="2" type="noConversion"/>
  <printOptions horizontalCentered="1" verticalCentered="1"/>
  <pageMargins left="0.19685039370078741" right="0.19685039370078741" top="0.19685039370078741" bottom="0.19685039370078741" header="0" footer="0"/>
  <pageSetup paperSize="9" orientation="portrait" horizontalDpi="120" verticalDpi="14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00000"/>
  </sheetPr>
  <dimension ref="B1:L26"/>
  <sheetViews>
    <sheetView workbookViewId="0">
      <selection activeCell="L8" sqref="L8"/>
    </sheetView>
  </sheetViews>
  <sheetFormatPr defaultRowHeight="12.75"/>
  <cols>
    <col min="1" max="1" width="1.85546875" customWidth="1"/>
    <col min="2" max="2" width="16" customWidth="1"/>
    <col min="3" max="12" width="11.42578125" style="224" customWidth="1"/>
  </cols>
  <sheetData>
    <row r="1" spans="2:12">
      <c r="B1" s="1386" t="s">
        <v>496</v>
      </c>
      <c r="C1" s="1386"/>
      <c r="D1" s="1386"/>
      <c r="E1" s="1386"/>
      <c r="F1" s="1386"/>
      <c r="G1" s="1386"/>
      <c r="H1" s="1386"/>
      <c r="I1" s="1386"/>
      <c r="J1" s="1386"/>
      <c r="K1" s="1386"/>
      <c r="L1" s="1386"/>
    </row>
    <row r="2" spans="2:12" ht="7.5" customHeight="1">
      <c r="B2" s="85" t="s">
        <v>210</v>
      </c>
      <c r="C2" s="223"/>
      <c r="D2" s="223"/>
      <c r="E2" s="223"/>
      <c r="F2" s="223"/>
      <c r="K2" s="225"/>
      <c r="L2" s="225"/>
    </row>
    <row r="3" spans="2:12" ht="15.75">
      <c r="B3" s="85"/>
      <c r="C3" s="223"/>
      <c r="D3" s="223"/>
      <c r="E3" s="223"/>
      <c r="F3" s="223"/>
      <c r="L3" s="541" t="s">
        <v>1225</v>
      </c>
    </row>
    <row r="4" spans="2:12" ht="18" customHeight="1">
      <c r="B4" s="1463" t="s">
        <v>176</v>
      </c>
      <c r="C4" s="1470" t="s">
        <v>356</v>
      </c>
      <c r="D4" s="1472"/>
      <c r="E4" s="1472"/>
      <c r="F4" s="1471"/>
      <c r="G4" s="1470" t="s">
        <v>359</v>
      </c>
      <c r="H4" s="1472"/>
      <c r="I4" s="1472"/>
      <c r="J4" s="1471"/>
      <c r="K4" s="1464" t="s">
        <v>360</v>
      </c>
      <c r="L4" s="1465"/>
    </row>
    <row r="5" spans="2:12">
      <c r="B5" s="1463"/>
      <c r="C5" s="1465" t="s">
        <v>361</v>
      </c>
      <c r="D5" s="1468" t="s">
        <v>319</v>
      </c>
      <c r="E5" s="1470" t="s">
        <v>44</v>
      </c>
      <c r="F5" s="1471"/>
      <c r="G5" s="1468" t="s">
        <v>361</v>
      </c>
      <c r="H5" s="1468" t="s">
        <v>319</v>
      </c>
      <c r="I5" s="1470" t="s">
        <v>44</v>
      </c>
      <c r="J5" s="1472"/>
      <c r="K5" s="1466"/>
      <c r="L5" s="1467"/>
    </row>
    <row r="6" spans="2:12" ht="16.5" customHeight="1">
      <c r="B6" s="1463"/>
      <c r="C6" s="1467"/>
      <c r="D6" s="1469"/>
      <c r="E6" s="117" t="s">
        <v>362</v>
      </c>
      <c r="F6" s="116" t="s">
        <v>320</v>
      </c>
      <c r="G6" s="1469"/>
      <c r="H6" s="1469"/>
      <c r="I6" s="117" t="s">
        <v>362</v>
      </c>
      <c r="J6" s="116" t="s">
        <v>320</v>
      </c>
      <c r="K6" s="116" t="s">
        <v>363</v>
      </c>
      <c r="L6" s="109" t="s">
        <v>354</v>
      </c>
    </row>
    <row r="7" spans="2:12" ht="22.5" customHeight="1">
      <c r="B7" s="118" t="s">
        <v>280</v>
      </c>
      <c r="C7" s="547">
        <v>213766</v>
      </c>
      <c r="D7" s="145">
        <v>205553.4</v>
      </c>
      <c r="E7" s="548">
        <f>(D7/C7)*100</f>
        <v>96.158135531375422</v>
      </c>
      <c r="F7" s="228">
        <f>D7-C7</f>
        <v>-8212.6000000000058</v>
      </c>
      <c r="G7" s="227">
        <v>268243.45</v>
      </c>
      <c r="H7" s="227">
        <v>266601.59999999998</v>
      </c>
      <c r="I7" s="548">
        <f t="shared" ref="I7:I23" si="0">(H7/G7)*100</f>
        <v>99.387925408803071</v>
      </c>
      <c r="J7" s="228">
        <f t="shared" ref="J7:J23" si="1">H7-G7</f>
        <v>-1641.8500000000349</v>
      </c>
      <c r="K7" s="548">
        <f>SUM(C7/G7)*100</f>
        <v>79.691041850229709</v>
      </c>
      <c r="L7" s="548">
        <f>SUM(D7/H7)*100</f>
        <v>77.101337726405248</v>
      </c>
    </row>
    <row r="8" spans="2:12" ht="22.5" customHeight="1">
      <c r="B8" s="118" t="s">
        <v>281</v>
      </c>
      <c r="C8" s="226">
        <v>40738.6</v>
      </c>
      <c r="D8" s="227">
        <v>45804.72</v>
      </c>
      <c r="E8" s="548">
        <f t="shared" ref="E8:E23" si="2">(D8/C8)*100</f>
        <v>112.43567525639075</v>
      </c>
      <c r="F8" s="228">
        <f t="shared" ref="F8:F23" si="3">D8-C8</f>
        <v>5066.1200000000026</v>
      </c>
      <c r="G8" s="227">
        <v>240007.3</v>
      </c>
      <c r="H8" s="227">
        <v>234282.64</v>
      </c>
      <c r="I8" s="548">
        <f t="shared" si="0"/>
        <v>97.614797549907877</v>
      </c>
      <c r="J8" s="228">
        <f t="shared" si="1"/>
        <v>-5724.6599999999744</v>
      </c>
      <c r="K8" s="548">
        <f t="shared" ref="K8:L23" si="4">SUM(C8/G8)*100</f>
        <v>16.973900377196859</v>
      </c>
      <c r="L8" s="548">
        <f t="shared" si="4"/>
        <v>19.551051669897522</v>
      </c>
    </row>
    <row r="9" spans="2:12" ht="22.5" customHeight="1">
      <c r="B9" s="118" t="s">
        <v>282</v>
      </c>
      <c r="C9" s="226">
        <v>22530.3</v>
      </c>
      <c r="D9" s="145">
        <v>27656</v>
      </c>
      <c r="E9" s="548">
        <f t="shared" si="2"/>
        <v>122.75025188301976</v>
      </c>
      <c r="F9" s="228">
        <f t="shared" si="3"/>
        <v>5125.7000000000007</v>
      </c>
      <c r="G9" s="227">
        <v>275611.40000000002</v>
      </c>
      <c r="H9" s="227">
        <v>266346.2</v>
      </c>
      <c r="I9" s="548">
        <f t="shared" si="0"/>
        <v>96.638310316626956</v>
      </c>
      <c r="J9" s="228">
        <f t="shared" si="1"/>
        <v>-9265.2000000000116</v>
      </c>
      <c r="K9" s="548">
        <f t="shared" si="4"/>
        <v>8.1746618608664221</v>
      </c>
      <c r="L9" s="548">
        <f t="shared" si="4"/>
        <v>10.383478345101226</v>
      </c>
    </row>
    <row r="10" spans="2:12" ht="22.5" customHeight="1">
      <c r="B10" s="118" t="s">
        <v>283</v>
      </c>
      <c r="C10" s="226">
        <v>29773.8</v>
      </c>
      <c r="D10" s="227">
        <v>28128.7</v>
      </c>
      <c r="E10" s="548">
        <f t="shared" si="2"/>
        <v>94.474672362949988</v>
      </c>
      <c r="F10" s="228">
        <f t="shared" si="3"/>
        <v>-1645.0999999999985</v>
      </c>
      <c r="G10" s="227">
        <v>240538.3</v>
      </c>
      <c r="H10" s="227">
        <v>235572.8</v>
      </c>
      <c r="I10" s="548">
        <f t="shared" si="0"/>
        <v>97.935671782830426</v>
      </c>
      <c r="J10" s="228">
        <f t="shared" si="1"/>
        <v>-4965.5</v>
      </c>
      <c r="K10" s="548">
        <f t="shared" si="4"/>
        <v>12.377987206195437</v>
      </c>
      <c r="L10" s="548">
        <f t="shared" si="4"/>
        <v>11.940555106531825</v>
      </c>
    </row>
    <row r="11" spans="2:12" ht="22.5" customHeight="1">
      <c r="B11" s="118" t="s">
        <v>284</v>
      </c>
      <c r="C11" s="226">
        <v>689076.7</v>
      </c>
      <c r="D11" s="227">
        <v>433406.3</v>
      </c>
      <c r="E11" s="548">
        <f t="shared" si="2"/>
        <v>62.896670283583823</v>
      </c>
      <c r="F11" s="228">
        <f t="shared" si="3"/>
        <v>-255670.39999999997</v>
      </c>
      <c r="G11" s="227">
        <v>808875.1</v>
      </c>
      <c r="H11" s="227">
        <v>764833.6</v>
      </c>
      <c r="I11" s="548">
        <f t="shared" si="0"/>
        <v>94.555216250320967</v>
      </c>
      <c r="J11" s="228">
        <f t="shared" si="1"/>
        <v>-44041.5</v>
      </c>
      <c r="K11" s="548">
        <f t="shared" si="4"/>
        <v>85.189505771657451</v>
      </c>
      <c r="L11" s="548">
        <f t="shared" si="4"/>
        <v>56.666744243453735</v>
      </c>
    </row>
    <row r="12" spans="2:12" ht="22.5" customHeight="1">
      <c r="B12" s="118" t="s">
        <v>285</v>
      </c>
      <c r="C12" s="547">
        <v>105949</v>
      </c>
      <c r="D12" s="145">
        <v>155089</v>
      </c>
      <c r="E12" s="548">
        <f>(D12/C12)*100</f>
        <v>146.38080585942294</v>
      </c>
      <c r="F12" s="548">
        <f>D12-C12</f>
        <v>49140</v>
      </c>
      <c r="G12" s="227">
        <v>296645.90000000002</v>
      </c>
      <c r="H12" s="227">
        <v>285404.5</v>
      </c>
      <c r="I12" s="548">
        <f t="shared" si="0"/>
        <v>96.210498779858398</v>
      </c>
      <c r="J12" s="228">
        <f>H12-G12</f>
        <v>-11241.400000000023</v>
      </c>
      <c r="K12" s="548">
        <f>SUM(C12/G12)*100</f>
        <v>35.715646162647111</v>
      </c>
      <c r="L12" s="548">
        <f>SUM(D12/H12)*100</f>
        <v>54.340068218966422</v>
      </c>
    </row>
    <row r="13" spans="2:12" ht="22.5" customHeight="1">
      <c r="B13" s="118" t="s">
        <v>286</v>
      </c>
      <c r="C13" s="226">
        <v>87399.8</v>
      </c>
      <c r="D13" s="227">
        <v>94358.3</v>
      </c>
      <c r="E13" s="548">
        <f t="shared" si="2"/>
        <v>107.96168869951647</v>
      </c>
      <c r="F13" s="228">
        <f t="shared" si="3"/>
        <v>6958.5</v>
      </c>
      <c r="G13" s="227">
        <v>295467.61</v>
      </c>
      <c r="H13" s="227">
        <v>289080.15999999997</v>
      </c>
      <c r="I13" s="548">
        <f t="shared" si="0"/>
        <v>97.838189438091021</v>
      </c>
      <c r="J13" s="228">
        <f t="shared" si="1"/>
        <v>-6387.4500000000116</v>
      </c>
      <c r="K13" s="548">
        <f t="shared" si="4"/>
        <v>29.580162779940583</v>
      </c>
      <c r="L13" s="548">
        <f t="shared" si="4"/>
        <v>32.640877187836068</v>
      </c>
    </row>
    <row r="14" spans="2:12" ht="22.5" customHeight="1">
      <c r="B14" s="118" t="s">
        <v>287</v>
      </c>
      <c r="C14" s="226">
        <v>41406.699999999997</v>
      </c>
      <c r="D14" s="227">
        <v>19204.8</v>
      </c>
      <c r="E14" s="548">
        <f t="shared" si="2"/>
        <v>46.380899709467307</v>
      </c>
      <c r="F14" s="228">
        <f t="shared" si="3"/>
        <v>-22201.899999999998</v>
      </c>
      <c r="G14" s="227">
        <v>259101.4</v>
      </c>
      <c r="H14" s="227">
        <v>250877.8</v>
      </c>
      <c r="I14" s="548">
        <f t="shared" si="0"/>
        <v>96.826107462175031</v>
      </c>
      <c r="J14" s="228">
        <f t="shared" si="1"/>
        <v>-8223.6000000000058</v>
      </c>
      <c r="K14" s="548">
        <f t="shared" si="4"/>
        <v>15.980886247623516</v>
      </c>
      <c r="L14" s="548">
        <f t="shared" si="4"/>
        <v>7.6550416178713308</v>
      </c>
    </row>
    <row r="15" spans="2:12" ht="22.5" customHeight="1">
      <c r="B15" s="118" t="s">
        <v>288</v>
      </c>
      <c r="C15" s="226">
        <v>17671.599999999999</v>
      </c>
      <c r="D15" s="227">
        <v>23835.1</v>
      </c>
      <c r="E15" s="548">
        <f t="shared" si="2"/>
        <v>134.87799633309945</v>
      </c>
      <c r="F15" s="228">
        <f t="shared" si="3"/>
        <v>6163.5</v>
      </c>
      <c r="G15" s="227">
        <v>297482.2</v>
      </c>
      <c r="H15" s="227">
        <v>267981.5</v>
      </c>
      <c r="I15" s="548">
        <f t="shared" si="0"/>
        <v>90.083204978314669</v>
      </c>
      <c r="J15" s="228">
        <f t="shared" si="1"/>
        <v>-29500.700000000012</v>
      </c>
      <c r="K15" s="548">
        <f t="shared" si="4"/>
        <v>5.9403890384029694</v>
      </c>
      <c r="L15" s="548">
        <f t="shared" si="4"/>
        <v>8.8943080026046584</v>
      </c>
    </row>
    <row r="16" spans="2:12" ht="22.5" customHeight="1">
      <c r="B16" s="118" t="s">
        <v>289</v>
      </c>
      <c r="C16" s="226">
        <v>43634.6</v>
      </c>
      <c r="D16" s="227">
        <v>45977.5</v>
      </c>
      <c r="E16" s="548">
        <f t="shared" si="2"/>
        <v>105.36936284508165</v>
      </c>
      <c r="F16" s="228">
        <f t="shared" si="3"/>
        <v>2342.9000000000015</v>
      </c>
      <c r="G16" s="227">
        <v>317160.3</v>
      </c>
      <c r="H16" s="227">
        <v>314877.90000000002</v>
      </c>
      <c r="I16" s="548">
        <f t="shared" si="0"/>
        <v>99.280363904309596</v>
      </c>
      <c r="J16" s="228">
        <f t="shared" si="1"/>
        <v>-2282.3999999999651</v>
      </c>
      <c r="K16" s="548">
        <f t="shared" si="4"/>
        <v>13.757900973104137</v>
      </c>
      <c r="L16" s="548">
        <f t="shared" si="4"/>
        <v>14.601691639838807</v>
      </c>
    </row>
    <row r="17" spans="2:12" ht="22.5" customHeight="1">
      <c r="B17" s="118" t="s">
        <v>290</v>
      </c>
      <c r="C17" s="226">
        <v>128724.9</v>
      </c>
      <c r="D17" s="227">
        <v>182017.1</v>
      </c>
      <c r="E17" s="548">
        <f t="shared" si="2"/>
        <v>141.40007100413362</v>
      </c>
      <c r="F17" s="228">
        <f t="shared" si="3"/>
        <v>53292.200000000012</v>
      </c>
      <c r="G17" s="228">
        <v>342343.7</v>
      </c>
      <c r="H17" s="227">
        <v>311419.59999999998</v>
      </c>
      <c r="I17" s="548">
        <f t="shared" si="0"/>
        <v>90.966943454779496</v>
      </c>
      <c r="J17" s="228">
        <f t="shared" si="1"/>
        <v>-30924.100000000035</v>
      </c>
      <c r="K17" s="548">
        <f t="shared" si="4"/>
        <v>37.601071671539451</v>
      </c>
      <c r="L17" s="548">
        <f t="shared" si="4"/>
        <v>58.447541516333601</v>
      </c>
    </row>
    <row r="18" spans="2:12" ht="22.5" customHeight="1">
      <c r="B18" s="118" t="s">
        <v>291</v>
      </c>
      <c r="C18" s="547">
        <v>123562</v>
      </c>
      <c r="D18" s="227">
        <v>149144.29999999999</v>
      </c>
      <c r="E18" s="548">
        <f t="shared" si="2"/>
        <v>120.70401903497839</v>
      </c>
      <c r="F18" s="228">
        <f t="shared" si="3"/>
        <v>25582.299999999988</v>
      </c>
      <c r="G18" s="228">
        <v>321087.23</v>
      </c>
      <c r="H18" s="227">
        <v>294266.40000000002</v>
      </c>
      <c r="I18" s="548">
        <f t="shared" si="0"/>
        <v>91.646871163328441</v>
      </c>
      <c r="J18" s="228">
        <f t="shared" si="1"/>
        <v>-26820.829999999958</v>
      </c>
      <c r="K18" s="548">
        <f t="shared" si="4"/>
        <v>38.482377514671015</v>
      </c>
      <c r="L18" s="548">
        <f t="shared" si="4"/>
        <v>50.68342834927806</v>
      </c>
    </row>
    <row r="19" spans="2:12" ht="22.5" customHeight="1">
      <c r="B19" s="118" t="s">
        <v>292</v>
      </c>
      <c r="C19" s="226">
        <v>55154.2</v>
      </c>
      <c r="D19" s="227">
        <v>55157.77</v>
      </c>
      <c r="E19" s="548">
        <f t="shared" si="2"/>
        <v>100.00647276182049</v>
      </c>
      <c r="F19" s="228">
        <f t="shared" si="3"/>
        <v>3.569999999999709</v>
      </c>
      <c r="G19" s="227">
        <v>306088.71000000002</v>
      </c>
      <c r="H19" s="227">
        <v>292507.15999999997</v>
      </c>
      <c r="I19" s="548">
        <f t="shared" si="0"/>
        <v>95.562871299630743</v>
      </c>
      <c r="J19" s="228">
        <f t="shared" si="1"/>
        <v>-13581.550000000047</v>
      </c>
      <c r="K19" s="548">
        <f t="shared" si="4"/>
        <v>18.01902461544563</v>
      </c>
      <c r="L19" s="548">
        <f t="shared" si="4"/>
        <v>18.856895673938375</v>
      </c>
    </row>
    <row r="20" spans="2:12" ht="22.5" customHeight="1">
      <c r="B20" s="118" t="s">
        <v>293</v>
      </c>
      <c r="C20" s="226">
        <v>779026.3</v>
      </c>
      <c r="D20" s="227">
        <v>855218.2</v>
      </c>
      <c r="E20" s="548">
        <f t="shared" si="2"/>
        <v>109.78040150890924</v>
      </c>
      <c r="F20" s="228">
        <f t="shared" si="3"/>
        <v>76191.899999999907</v>
      </c>
      <c r="G20" s="227">
        <v>1092358.8999999999</v>
      </c>
      <c r="H20" s="227">
        <v>1081557.2</v>
      </c>
      <c r="I20" s="548">
        <f t="shared" si="0"/>
        <v>99.011158329007074</v>
      </c>
      <c r="J20" s="228">
        <f t="shared" si="1"/>
        <v>-10801.699999999953</v>
      </c>
      <c r="K20" s="548">
        <f t="shared" si="4"/>
        <v>71.315965842361891</v>
      </c>
      <c r="L20" s="548">
        <f t="shared" si="4"/>
        <v>79.072859022158042</v>
      </c>
    </row>
    <row r="21" spans="2:12" ht="22.5" customHeight="1">
      <c r="B21" s="160" t="s">
        <v>364</v>
      </c>
      <c r="C21" s="229">
        <f>SUM(C7:C20)</f>
        <v>2378414.5</v>
      </c>
      <c r="D21" s="230">
        <f>SUM(D7:D20)</f>
        <v>2320551.1900000004</v>
      </c>
      <c r="E21" s="1118">
        <f t="shared" si="2"/>
        <v>97.567147778488589</v>
      </c>
      <c r="F21" s="231">
        <f t="shared" si="3"/>
        <v>-57863.30999999959</v>
      </c>
      <c r="G21" s="230">
        <f>SUM(G7:G20)</f>
        <v>5361011.5</v>
      </c>
      <c r="H21" s="230">
        <f>SUM(H7:H20)</f>
        <v>5155609.0599999996</v>
      </c>
      <c r="I21" s="1118">
        <f t="shared" si="0"/>
        <v>96.168587961432266</v>
      </c>
      <c r="J21" s="231">
        <f t="shared" si="1"/>
        <v>-205402.44000000041</v>
      </c>
      <c r="K21" s="1118">
        <f t="shared" si="4"/>
        <v>44.3650326062535</v>
      </c>
      <c r="L21" s="1118">
        <f t="shared" si="4"/>
        <v>45.010224068463415</v>
      </c>
    </row>
    <row r="22" spans="2:12" ht="22.5" customHeight="1">
      <c r="B22" s="118" t="s">
        <v>318</v>
      </c>
      <c r="C22" s="226">
        <v>6629066.5999999996</v>
      </c>
      <c r="D22" s="145">
        <v>6838925</v>
      </c>
      <c r="E22" s="548">
        <f t="shared" si="2"/>
        <v>103.16573075310482</v>
      </c>
      <c r="F22" s="228">
        <f t="shared" si="3"/>
        <v>209858.40000000037</v>
      </c>
      <c r="G22" s="227">
        <v>5059277.2</v>
      </c>
      <c r="H22" s="227">
        <v>4922963.3099999996</v>
      </c>
      <c r="I22" s="548">
        <f t="shared" si="0"/>
        <v>97.305664730131795</v>
      </c>
      <c r="J22" s="228">
        <f t="shared" si="1"/>
        <v>-136313.8900000006</v>
      </c>
      <c r="K22" s="548">
        <f t="shared" si="4"/>
        <v>131.02793814104513</v>
      </c>
      <c r="L22" s="548">
        <f t="shared" si="4"/>
        <v>138.91886998442814</v>
      </c>
    </row>
    <row r="23" spans="2:12" ht="22.5" customHeight="1">
      <c r="B23" s="174" t="s">
        <v>365</v>
      </c>
      <c r="C23" s="229">
        <f>SUM(C21+C22)</f>
        <v>9007481.0999999996</v>
      </c>
      <c r="D23" s="230">
        <f>SUM(D21+D22)</f>
        <v>9159476.1900000013</v>
      </c>
      <c r="E23" s="1118">
        <f t="shared" si="2"/>
        <v>101.68743168387</v>
      </c>
      <c r="F23" s="231">
        <f t="shared" si="3"/>
        <v>151995.09000000171</v>
      </c>
      <c r="G23" s="230">
        <f>SUM(G21+G22)</f>
        <v>10420288.699999999</v>
      </c>
      <c r="H23" s="230">
        <f>SUM(H21+H22)</f>
        <v>10078572.369999999</v>
      </c>
      <c r="I23" s="1118">
        <f t="shared" si="0"/>
        <v>96.720663507144479</v>
      </c>
      <c r="J23" s="231">
        <f t="shared" si="1"/>
        <v>-341716.33000000007</v>
      </c>
      <c r="K23" s="1118">
        <f t="shared" si="4"/>
        <v>86.44176144563059</v>
      </c>
      <c r="L23" s="1118">
        <f t="shared" si="4"/>
        <v>90.88069077386605</v>
      </c>
    </row>
    <row r="26" spans="2:12">
      <c r="B26" s="1462">
        <v>27</v>
      </c>
      <c r="C26" s="1462"/>
      <c r="D26" s="1462"/>
      <c r="E26" s="1462"/>
      <c r="F26" s="1462"/>
      <c r="G26" s="1462"/>
      <c r="H26" s="1462"/>
      <c r="I26" s="1462"/>
      <c r="J26" s="1462"/>
      <c r="K26" s="1462"/>
      <c r="L26" s="1462"/>
    </row>
  </sheetData>
  <mergeCells count="12">
    <mergeCell ref="B26:L26"/>
    <mergeCell ref="B1:L1"/>
    <mergeCell ref="B4:B6"/>
    <mergeCell ref="K4:L5"/>
    <mergeCell ref="C5:C6"/>
    <mergeCell ref="D5:D6"/>
    <mergeCell ref="E5:F5"/>
    <mergeCell ref="G5:G6"/>
    <mergeCell ref="H5:H6"/>
    <mergeCell ref="I5:J5"/>
    <mergeCell ref="G4:J4"/>
    <mergeCell ref="C4:F4"/>
  </mergeCells>
  <phoneticPr fontId="2" type="noConversion"/>
  <pageMargins left="0.75" right="0.45" top="0.63" bottom="0.56000000000000005" header="0.39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00000"/>
  </sheetPr>
  <dimension ref="A1:I169"/>
  <sheetViews>
    <sheetView zoomScale="90" zoomScaleNormal="90" workbookViewId="0">
      <selection sqref="A1:I1"/>
    </sheetView>
  </sheetViews>
  <sheetFormatPr defaultRowHeight="18" customHeight="1"/>
  <cols>
    <col min="1" max="1" width="37" style="121" customWidth="1"/>
    <col min="2" max="3" width="13.28515625" style="121" customWidth="1"/>
    <col min="4" max="4" width="7" style="121" customWidth="1"/>
    <col min="5" max="5" width="11.85546875" style="121" customWidth="1"/>
    <col min="6" max="7" width="13.28515625" style="121" customWidth="1"/>
    <col min="8" max="8" width="10" style="121" customWidth="1"/>
    <col min="9" max="9" width="12.140625" style="121" customWidth="1"/>
    <col min="10" max="16384" width="9.140625" style="121"/>
  </cols>
  <sheetData>
    <row r="1" spans="1:9" ht="16.149999999999999" customHeight="1">
      <c r="A1" s="1392" t="s">
        <v>688</v>
      </c>
      <c r="B1" s="1392"/>
      <c r="C1" s="1392"/>
      <c r="D1" s="1392"/>
      <c r="E1" s="1392"/>
      <c r="F1" s="1392"/>
      <c r="G1" s="1392"/>
      <c r="H1" s="1392"/>
      <c r="I1" s="1392"/>
    </row>
    <row r="2" spans="1:9" ht="16.149999999999999" customHeight="1">
      <c r="A2" s="96"/>
      <c r="B2" s="122"/>
      <c r="C2" s="122"/>
      <c r="D2" s="122"/>
      <c r="E2" s="1478" t="s">
        <v>32</v>
      </c>
      <c r="F2" s="1478"/>
      <c r="G2" s="1478"/>
      <c r="H2" s="1478"/>
      <c r="I2" s="1478"/>
    </row>
    <row r="3" spans="1:9" ht="18" customHeight="1">
      <c r="A3" s="1475"/>
      <c r="B3" s="1463" t="s">
        <v>357</v>
      </c>
      <c r="C3" s="1477"/>
      <c r="D3" s="1477"/>
      <c r="E3" s="1477"/>
      <c r="F3" s="1463" t="s">
        <v>358</v>
      </c>
      <c r="G3" s="1477"/>
      <c r="H3" s="1477"/>
      <c r="I3" s="1477"/>
    </row>
    <row r="4" spans="1:9" ht="10.5" customHeight="1">
      <c r="A4" s="1476"/>
      <c r="B4" s="1477"/>
      <c r="C4" s="1477"/>
      <c r="D4" s="1477"/>
      <c r="E4" s="1477"/>
      <c r="F4" s="1477"/>
      <c r="G4" s="1477"/>
      <c r="H4" s="1477"/>
      <c r="I4" s="1477"/>
    </row>
    <row r="5" spans="1:9" ht="18" customHeight="1">
      <c r="A5" s="101"/>
      <c r="B5" s="146" t="s">
        <v>195</v>
      </c>
      <c r="C5" s="146" t="s">
        <v>175</v>
      </c>
      <c r="D5" s="146" t="s">
        <v>279</v>
      </c>
      <c r="E5" s="146" t="s">
        <v>192</v>
      </c>
      <c r="F5" s="146" t="s">
        <v>195</v>
      </c>
      <c r="G5" s="146" t="s">
        <v>175</v>
      </c>
      <c r="H5" s="146" t="s">
        <v>279</v>
      </c>
      <c r="I5" s="146" t="s">
        <v>192</v>
      </c>
    </row>
    <row r="6" spans="1:9" ht="21" customHeight="1">
      <c r="A6" s="169" t="s">
        <v>317</v>
      </c>
      <c r="B6" s="106"/>
      <c r="C6" s="106"/>
      <c r="D6" s="212" t="e">
        <f>SUM(C6/B6)*100</f>
        <v>#DIV/0!</v>
      </c>
      <c r="E6" s="212">
        <f>SUM(C6-B6)</f>
        <v>0</v>
      </c>
      <c r="F6" s="106"/>
      <c r="G6" s="106"/>
      <c r="H6" s="212" t="e">
        <f t="shared" ref="H6:H11" si="0">SUM(G6/F6)*100</f>
        <v>#DIV/0!</v>
      </c>
      <c r="I6" s="213">
        <f t="shared" ref="I6:I11" si="1">SUM(G6-F6)</f>
        <v>0</v>
      </c>
    </row>
    <row r="7" spans="1:9" ht="25.5" customHeight="1">
      <c r="A7" s="148" t="s">
        <v>563</v>
      </c>
      <c r="B7" s="106"/>
      <c r="C7" s="106">
        <v>74626.259999999995</v>
      </c>
      <c r="D7" s="145" t="e">
        <f>SUM(C7/B7)*100</f>
        <v>#DIV/0!</v>
      </c>
      <c r="E7" s="212">
        <f>SUM(C7-B7)</f>
        <v>74626.259999999995</v>
      </c>
      <c r="F7" s="106"/>
      <c r="G7" s="106">
        <v>525721.59999999998</v>
      </c>
      <c r="H7" s="145" t="e">
        <f t="shared" si="0"/>
        <v>#DIV/0!</v>
      </c>
      <c r="I7" s="213">
        <f t="shared" si="1"/>
        <v>525721.59999999998</v>
      </c>
    </row>
    <row r="8" spans="1:9" ht="25.5" customHeight="1">
      <c r="A8" s="169" t="s">
        <v>321</v>
      </c>
      <c r="B8" s="106"/>
      <c r="C8" s="213">
        <v>1675.6</v>
      </c>
      <c r="D8" s="145" t="e">
        <f>SUM(C8/B8)*100</f>
        <v>#DIV/0!</v>
      </c>
      <c r="E8" s="212">
        <f t="shared" ref="E8:E82" si="2">SUM(C8-B8)</f>
        <v>1675.6</v>
      </c>
      <c r="F8" s="106"/>
      <c r="G8" s="213">
        <v>17096.849999999999</v>
      </c>
      <c r="H8" s="145" t="e">
        <f t="shared" si="0"/>
        <v>#DIV/0!</v>
      </c>
      <c r="I8" s="213">
        <f t="shared" si="1"/>
        <v>17096.849999999999</v>
      </c>
    </row>
    <row r="9" spans="1:9" ht="28.5" customHeight="1">
      <c r="A9" s="148" t="s">
        <v>690</v>
      </c>
      <c r="B9" s="106"/>
      <c r="C9" s="213">
        <v>5377.01</v>
      </c>
      <c r="D9" s="145" t="e">
        <f>SUM(C9/B9)*100</f>
        <v>#DIV/0!</v>
      </c>
      <c r="E9" s="212">
        <f t="shared" si="2"/>
        <v>5377.01</v>
      </c>
      <c r="F9" s="106"/>
      <c r="G9" s="213">
        <v>7011.23</v>
      </c>
      <c r="H9" s="145" t="e">
        <f t="shared" si="0"/>
        <v>#DIV/0!</v>
      </c>
      <c r="I9" s="213">
        <f t="shared" si="1"/>
        <v>7011.23</v>
      </c>
    </row>
    <row r="10" spans="1:9" ht="25.5" customHeight="1">
      <c r="A10" s="148" t="s">
        <v>523</v>
      </c>
      <c r="B10" s="106"/>
      <c r="C10" s="213">
        <v>13119.62</v>
      </c>
      <c r="D10" s="145" t="e">
        <f>SUM(C10/B10)*100</f>
        <v>#DIV/0!</v>
      </c>
      <c r="E10" s="212">
        <f t="shared" si="2"/>
        <v>13119.62</v>
      </c>
      <c r="F10" s="106"/>
      <c r="G10" s="213">
        <v>129023.76</v>
      </c>
      <c r="H10" s="145" t="e">
        <f t="shared" si="0"/>
        <v>#DIV/0!</v>
      </c>
      <c r="I10" s="213">
        <f t="shared" si="1"/>
        <v>129023.76</v>
      </c>
    </row>
    <row r="11" spans="1:9" ht="23.25" customHeight="1">
      <c r="A11" s="169" t="s">
        <v>322</v>
      </c>
      <c r="B11" s="213">
        <v>10420288.449999999</v>
      </c>
      <c r="C11" s="106">
        <v>10199688.01</v>
      </c>
      <c r="D11" s="212">
        <f t="shared" ref="D11:D82" si="3">SUM(C11/B11)*100</f>
        <v>97.882971848058588</v>
      </c>
      <c r="E11" s="212">
        <f t="shared" si="2"/>
        <v>-220600.43999999948</v>
      </c>
      <c r="F11" s="213">
        <v>37340763.960000001</v>
      </c>
      <c r="G11" s="106">
        <v>35956952.439999998</v>
      </c>
      <c r="H11" s="212">
        <f t="shared" si="0"/>
        <v>96.294099602562056</v>
      </c>
      <c r="I11" s="213">
        <f t="shared" si="1"/>
        <v>-1383811.5200000033</v>
      </c>
    </row>
    <row r="12" spans="1:9" ht="18" customHeight="1">
      <c r="A12" s="169" t="s">
        <v>524</v>
      </c>
      <c r="B12" s="213">
        <v>230000</v>
      </c>
      <c r="C12" s="213">
        <v>201366.3</v>
      </c>
      <c r="D12" s="212">
        <f t="shared" si="3"/>
        <v>87.550565217391295</v>
      </c>
      <c r="E12" s="212">
        <f t="shared" si="2"/>
        <v>-28633.700000000012</v>
      </c>
      <c r="F12" s="213"/>
      <c r="G12" s="213"/>
      <c r="H12" s="212"/>
      <c r="I12" s="213"/>
    </row>
    <row r="13" spans="1:9" ht="28.5" customHeight="1">
      <c r="A13" s="148" t="s">
        <v>545</v>
      </c>
      <c r="B13" s="213">
        <v>582700</v>
      </c>
      <c r="C13" s="212">
        <v>582700</v>
      </c>
      <c r="D13" s="212">
        <f>SUM(C13/B13)*100</f>
        <v>100</v>
      </c>
      <c r="E13" s="212">
        <f>SUM(C13-B13)</f>
        <v>0</v>
      </c>
      <c r="F13" s="213">
        <v>161069.6</v>
      </c>
      <c r="G13" s="106">
        <v>265369.63</v>
      </c>
      <c r="H13" s="212">
        <f t="shared" ref="H13:H18" si="4">SUM(G13/F13)*100</f>
        <v>164.75463402156583</v>
      </c>
      <c r="I13" s="213">
        <f t="shared" ref="I13:I18" si="5">SUM(G13-F13)</f>
        <v>104300.03</v>
      </c>
    </row>
    <row r="14" spans="1:9" ht="20.100000000000001" customHeight="1">
      <c r="A14" s="169" t="s">
        <v>325</v>
      </c>
      <c r="B14" s="213">
        <v>20774</v>
      </c>
      <c r="C14" s="213">
        <v>41761.68</v>
      </c>
      <c r="D14" s="212">
        <f t="shared" si="3"/>
        <v>201.02859343410034</v>
      </c>
      <c r="E14" s="212">
        <f t="shared" si="2"/>
        <v>20987.68</v>
      </c>
      <c r="F14" s="213">
        <v>29152</v>
      </c>
      <c r="G14" s="213">
        <v>73023.679999999993</v>
      </c>
      <c r="H14" s="212">
        <f t="shared" si="4"/>
        <v>250.49286498353456</v>
      </c>
      <c r="I14" s="213">
        <f t="shared" si="5"/>
        <v>43871.679999999993</v>
      </c>
    </row>
    <row r="15" spans="1:9" ht="27.75" customHeight="1">
      <c r="A15" s="169" t="s">
        <v>323</v>
      </c>
      <c r="B15" s="106">
        <v>8131387.2199999997</v>
      </c>
      <c r="C15" s="106">
        <v>8018806.2199999997</v>
      </c>
      <c r="D15" s="212">
        <f t="shared" si="3"/>
        <v>98.615476093389148</v>
      </c>
      <c r="E15" s="212">
        <f t="shared" si="2"/>
        <v>-112581</v>
      </c>
      <c r="F15" s="106">
        <v>34874239.299999997</v>
      </c>
      <c r="G15" s="106">
        <v>33392980.489999998</v>
      </c>
      <c r="H15" s="145">
        <f t="shared" si="4"/>
        <v>95.752570264665252</v>
      </c>
      <c r="I15" s="145">
        <f t="shared" si="5"/>
        <v>-1481258.8099999987</v>
      </c>
    </row>
    <row r="16" spans="1:9" ht="20.100000000000001" customHeight="1">
      <c r="A16" s="169" t="s">
        <v>525</v>
      </c>
      <c r="B16" s="213">
        <v>1454627.23</v>
      </c>
      <c r="C16" s="213">
        <v>1347392.65</v>
      </c>
      <c r="D16" s="212">
        <f t="shared" si="3"/>
        <v>92.628037081362763</v>
      </c>
      <c r="E16" s="212">
        <f t="shared" si="2"/>
        <v>-107234.58000000007</v>
      </c>
      <c r="F16" s="213">
        <v>82199.56</v>
      </c>
      <c r="G16" s="213"/>
      <c r="H16" s="212">
        <f t="shared" si="4"/>
        <v>0</v>
      </c>
      <c r="I16" s="213">
        <f t="shared" si="5"/>
        <v>-82199.56</v>
      </c>
    </row>
    <row r="17" spans="1:9" ht="20.100000000000001" customHeight="1">
      <c r="A17" s="169" t="s">
        <v>526</v>
      </c>
      <c r="B17" s="213">
        <v>800</v>
      </c>
      <c r="C17" s="106">
        <v>7661.16</v>
      </c>
      <c r="D17" s="145">
        <f t="shared" si="3"/>
        <v>957.64499999999998</v>
      </c>
      <c r="E17" s="212">
        <f t="shared" si="2"/>
        <v>6861.16</v>
      </c>
      <c r="F17" s="213">
        <v>850</v>
      </c>
      <c r="G17" s="106">
        <v>60156.34</v>
      </c>
      <c r="H17" s="212">
        <f t="shared" si="4"/>
        <v>7077.2164705882351</v>
      </c>
      <c r="I17" s="213">
        <f t="shared" si="5"/>
        <v>59306.34</v>
      </c>
    </row>
    <row r="18" spans="1:9" ht="19.5" customHeight="1">
      <c r="A18" s="148" t="s">
        <v>324</v>
      </c>
      <c r="B18" s="213"/>
      <c r="C18" s="106"/>
      <c r="D18" s="212" t="e">
        <f t="shared" si="3"/>
        <v>#DIV/0!</v>
      </c>
      <c r="E18" s="212">
        <f t="shared" si="2"/>
        <v>0</v>
      </c>
      <c r="F18" s="213">
        <v>2193253.5</v>
      </c>
      <c r="G18" s="106">
        <v>2165422.2999999998</v>
      </c>
      <c r="H18" s="212">
        <f t="shared" si="4"/>
        <v>98.731054116635391</v>
      </c>
      <c r="I18" s="213">
        <f t="shared" si="5"/>
        <v>-27831.200000000186</v>
      </c>
    </row>
    <row r="19" spans="1:9" ht="20.25" customHeight="1">
      <c r="A19" s="101" t="s">
        <v>326</v>
      </c>
      <c r="B19" s="213">
        <v>10420288.449999999</v>
      </c>
      <c r="C19" s="106">
        <v>10078572.369999999</v>
      </c>
      <c r="D19" s="212">
        <f t="shared" si="3"/>
        <v>96.720665827633596</v>
      </c>
      <c r="E19" s="212">
        <f t="shared" si="2"/>
        <v>-341716.08000000007</v>
      </c>
      <c r="F19" s="213">
        <v>37340763.960000001</v>
      </c>
      <c r="G19" s="106">
        <v>36482674.039999999</v>
      </c>
      <c r="H19" s="212">
        <f t="shared" ref="H19:H41" si="6">SUM(G19/F19)*100</f>
        <v>97.702002238306633</v>
      </c>
      <c r="I19" s="213">
        <f t="shared" ref="I19:I41" si="7">SUM(G19-F19)</f>
        <v>-858089.92000000179</v>
      </c>
    </row>
    <row r="20" spans="1:9" ht="18" customHeight="1">
      <c r="A20" s="101" t="s">
        <v>327</v>
      </c>
      <c r="B20" s="106">
        <v>8093480.6500000004</v>
      </c>
      <c r="C20" s="106">
        <v>7850448.0700000003</v>
      </c>
      <c r="D20" s="212">
        <f t="shared" si="3"/>
        <v>96.997180934756415</v>
      </c>
      <c r="E20" s="212">
        <f t="shared" si="2"/>
        <v>-243032.58000000007</v>
      </c>
      <c r="F20" s="106">
        <v>37340763.960000001</v>
      </c>
      <c r="G20" s="106">
        <v>36482674.039999999</v>
      </c>
      <c r="H20" s="212">
        <f t="shared" si="6"/>
        <v>97.702002238306633</v>
      </c>
      <c r="I20" s="213">
        <f t="shared" si="7"/>
        <v>-858089.92000000179</v>
      </c>
    </row>
    <row r="21" spans="1:9" ht="20.100000000000001" customHeight="1">
      <c r="A21" s="169" t="s">
        <v>328</v>
      </c>
      <c r="B21" s="213">
        <v>7813992.2699999996</v>
      </c>
      <c r="C21" s="106">
        <v>7622487.3099999996</v>
      </c>
      <c r="D21" s="212">
        <f t="shared" si="3"/>
        <v>97.549204639794198</v>
      </c>
      <c r="E21" s="212">
        <f t="shared" si="2"/>
        <v>-191504.95999999996</v>
      </c>
      <c r="F21" s="213">
        <v>33965914.960000001</v>
      </c>
      <c r="G21" s="106">
        <v>33353278.260000002</v>
      </c>
      <c r="H21" s="212">
        <f t="shared" si="6"/>
        <v>98.196319160777875</v>
      </c>
      <c r="I21" s="213">
        <f t="shared" si="7"/>
        <v>-612636.69999999925</v>
      </c>
    </row>
    <row r="22" spans="1:9" ht="20.100000000000001" customHeight="1">
      <c r="A22" s="169" t="s">
        <v>329</v>
      </c>
      <c r="B22" s="213">
        <v>3399898.73</v>
      </c>
      <c r="C22" s="106">
        <v>3321375.77</v>
      </c>
      <c r="D22" s="212">
        <f t="shared" si="3"/>
        <v>97.690432385319909</v>
      </c>
      <c r="E22" s="212">
        <f t="shared" si="2"/>
        <v>-78522.959999999963</v>
      </c>
      <c r="F22" s="213">
        <v>23690733.100000001</v>
      </c>
      <c r="G22" s="106">
        <v>23295076.109999999</v>
      </c>
      <c r="H22" s="212">
        <f t="shared" si="6"/>
        <v>98.329908203642702</v>
      </c>
      <c r="I22" s="213">
        <f t="shared" si="7"/>
        <v>-395656.99000000209</v>
      </c>
    </row>
    <row r="23" spans="1:9" ht="20.100000000000001" customHeight="1">
      <c r="A23" s="169" t="s">
        <v>330</v>
      </c>
      <c r="B23" s="106">
        <v>2941577.73</v>
      </c>
      <c r="C23" s="106">
        <v>2895314.44</v>
      </c>
      <c r="D23" s="212">
        <f t="shared" si="3"/>
        <v>98.427262705718135</v>
      </c>
      <c r="E23" s="212">
        <f t="shared" si="2"/>
        <v>-46263.290000000037</v>
      </c>
      <c r="F23" s="106">
        <v>21781403.899999999</v>
      </c>
      <c r="G23" s="106">
        <v>21589843.43</v>
      </c>
      <c r="H23" s="212">
        <f t="shared" si="6"/>
        <v>99.120532033291028</v>
      </c>
      <c r="I23" s="213">
        <f t="shared" si="7"/>
        <v>-191560.46999999881</v>
      </c>
    </row>
    <row r="24" spans="1:9" ht="20.100000000000001" customHeight="1">
      <c r="A24" s="169" t="s">
        <v>141</v>
      </c>
      <c r="B24" s="213"/>
      <c r="C24" s="213"/>
      <c r="D24" s="212" t="e">
        <f t="shared" si="3"/>
        <v>#DIV/0!</v>
      </c>
      <c r="E24" s="212">
        <f t="shared" si="2"/>
        <v>0</v>
      </c>
      <c r="F24" s="213">
        <v>218423.4</v>
      </c>
      <c r="G24" s="213">
        <v>181649.34</v>
      </c>
      <c r="H24" s="212">
        <f t="shared" si="6"/>
        <v>83.163864311241369</v>
      </c>
      <c r="I24" s="213">
        <f t="shared" si="7"/>
        <v>-36774.06</v>
      </c>
    </row>
    <row r="25" spans="1:9" ht="20.100000000000001" customHeight="1">
      <c r="A25" s="169" t="s">
        <v>527</v>
      </c>
      <c r="B25" s="213">
        <v>435161</v>
      </c>
      <c r="C25" s="106">
        <v>402901.33</v>
      </c>
      <c r="D25" s="212">
        <f t="shared" si="3"/>
        <v>92.586727670908004</v>
      </c>
      <c r="E25" s="212">
        <f t="shared" si="2"/>
        <v>-32259.669999999984</v>
      </c>
      <c r="F25" s="213">
        <v>614484.69999999995</v>
      </c>
      <c r="G25" s="106">
        <v>533063.80000000005</v>
      </c>
      <c r="H25" s="212">
        <f t="shared" si="6"/>
        <v>86.749727047719844</v>
      </c>
      <c r="I25" s="213">
        <f t="shared" si="7"/>
        <v>-81420.899999999907</v>
      </c>
    </row>
    <row r="26" spans="1:9" ht="20.100000000000001" customHeight="1">
      <c r="A26" s="169" t="s">
        <v>546</v>
      </c>
      <c r="B26" s="549">
        <v>23160</v>
      </c>
      <c r="C26" s="213">
        <v>23160</v>
      </c>
      <c r="D26" s="212">
        <f t="shared" si="3"/>
        <v>100</v>
      </c>
      <c r="E26" s="212">
        <f t="shared" si="2"/>
        <v>0</v>
      </c>
      <c r="F26" s="549">
        <v>126017.7</v>
      </c>
      <c r="G26" s="213">
        <v>126082.2</v>
      </c>
      <c r="H26" s="212">
        <f t="shared" si="6"/>
        <v>100.05118328615742</v>
      </c>
      <c r="I26" s="213">
        <f t="shared" si="7"/>
        <v>64.5</v>
      </c>
    </row>
    <row r="27" spans="1:9" ht="27" customHeight="1">
      <c r="A27" s="169" t="s">
        <v>331</v>
      </c>
      <c r="B27" s="213">
        <v>372227.71</v>
      </c>
      <c r="C27" s="106">
        <v>361626.37</v>
      </c>
      <c r="D27" s="212">
        <f t="shared" si="3"/>
        <v>97.15192079600952</v>
      </c>
      <c r="E27" s="212">
        <f t="shared" si="2"/>
        <v>-10601.340000000026</v>
      </c>
      <c r="F27" s="213">
        <v>2428419.2000000002</v>
      </c>
      <c r="G27" s="106">
        <v>2381944.94</v>
      </c>
      <c r="H27" s="212">
        <f t="shared" si="6"/>
        <v>98.086234040646687</v>
      </c>
      <c r="I27" s="213">
        <f t="shared" si="7"/>
        <v>-46474.260000000242</v>
      </c>
    </row>
    <row r="28" spans="1:9" ht="25.5" customHeight="1">
      <c r="A28" s="169" t="s">
        <v>332</v>
      </c>
      <c r="B28" s="213">
        <v>319791.90000000002</v>
      </c>
      <c r="C28" s="213">
        <v>310497.39</v>
      </c>
      <c r="D28" s="212">
        <f t="shared" si="3"/>
        <v>97.093575540843901</v>
      </c>
      <c r="E28" s="212">
        <f t="shared" si="2"/>
        <v>-9294.5100000000093</v>
      </c>
      <c r="F28" s="213">
        <v>1984049.26</v>
      </c>
      <c r="G28" s="213">
        <v>1948580.26</v>
      </c>
      <c r="H28" s="212">
        <f t="shared" si="6"/>
        <v>98.212292370200529</v>
      </c>
      <c r="I28" s="213">
        <f t="shared" si="7"/>
        <v>-35469</v>
      </c>
    </row>
    <row r="29" spans="1:9" ht="21" customHeight="1">
      <c r="A29" s="169" t="s">
        <v>528</v>
      </c>
      <c r="B29" s="213">
        <v>319791.90000000002</v>
      </c>
      <c r="C29" s="213">
        <v>310497.39</v>
      </c>
      <c r="D29" s="212">
        <f t="shared" si="3"/>
        <v>97.093575540843901</v>
      </c>
      <c r="E29" s="212">
        <f t="shared" si="2"/>
        <v>-9294.5100000000093</v>
      </c>
      <c r="F29" s="213">
        <v>1984049.26</v>
      </c>
      <c r="G29" s="213">
        <v>1948580.26</v>
      </c>
      <c r="H29" s="212">
        <f t="shared" si="6"/>
        <v>98.212292370200529</v>
      </c>
      <c r="I29" s="213">
        <f t="shared" si="7"/>
        <v>-35469</v>
      </c>
    </row>
    <row r="30" spans="1:9" ht="19.5" customHeight="1">
      <c r="A30" s="169" t="s">
        <v>333</v>
      </c>
      <c r="B30" s="213">
        <v>52435.81</v>
      </c>
      <c r="C30" s="213">
        <v>51128.98</v>
      </c>
      <c r="D30" s="212">
        <f t="shared" si="3"/>
        <v>97.507752812438682</v>
      </c>
      <c r="E30" s="212">
        <f t="shared" si="2"/>
        <v>-1306.8299999999945</v>
      </c>
      <c r="F30" s="213">
        <v>444369.94</v>
      </c>
      <c r="G30" s="213">
        <v>433364.68</v>
      </c>
      <c r="H30" s="212">
        <f t="shared" si="6"/>
        <v>97.523401335382857</v>
      </c>
      <c r="I30" s="213">
        <f t="shared" si="7"/>
        <v>-11005.260000000009</v>
      </c>
    </row>
    <row r="31" spans="1:9" ht="21.75" customHeight="1">
      <c r="A31" s="169" t="s">
        <v>334</v>
      </c>
      <c r="B31" s="213">
        <v>4041865.83</v>
      </c>
      <c r="C31" s="213">
        <v>3939485.17</v>
      </c>
      <c r="D31" s="212">
        <f t="shared" si="3"/>
        <v>97.466995088256056</v>
      </c>
      <c r="E31" s="212">
        <f t="shared" si="2"/>
        <v>-102380.66000000015</v>
      </c>
      <c r="F31" s="213">
        <v>444369.94</v>
      </c>
      <c r="G31" s="213">
        <v>433364.68</v>
      </c>
      <c r="H31" s="212">
        <f t="shared" si="6"/>
        <v>97.523401335382857</v>
      </c>
      <c r="I31" s="213">
        <f t="shared" si="7"/>
        <v>-11005.260000000009</v>
      </c>
    </row>
    <row r="32" spans="1:9" ht="20.100000000000001" customHeight="1">
      <c r="A32" s="169" t="s">
        <v>335</v>
      </c>
      <c r="B32" s="213">
        <v>60450.1</v>
      </c>
      <c r="C32" s="213">
        <v>60332.72</v>
      </c>
      <c r="D32" s="212">
        <f t="shared" si="3"/>
        <v>99.805823315428768</v>
      </c>
      <c r="E32" s="212">
        <f t="shared" si="2"/>
        <v>-117.37999999999738</v>
      </c>
      <c r="F32" s="213">
        <v>96399.4</v>
      </c>
      <c r="G32" s="213">
        <v>114736.78</v>
      </c>
      <c r="H32" s="212">
        <f t="shared" si="6"/>
        <v>119.02229681927481</v>
      </c>
      <c r="I32" s="213">
        <f t="shared" si="7"/>
        <v>18337.380000000005</v>
      </c>
    </row>
    <row r="33" spans="1:9" ht="18.75" customHeight="1">
      <c r="A33" s="169" t="s">
        <v>336</v>
      </c>
      <c r="B33" s="213">
        <v>38931.4</v>
      </c>
      <c r="C33" s="213">
        <v>32301.23</v>
      </c>
      <c r="D33" s="212">
        <f t="shared" si="3"/>
        <v>82.969608079853273</v>
      </c>
      <c r="E33" s="212">
        <f t="shared" si="2"/>
        <v>-6630.1700000000019</v>
      </c>
      <c r="F33" s="213">
        <v>426051.1</v>
      </c>
      <c r="G33" s="213">
        <v>354966.45</v>
      </c>
      <c r="H33" s="212">
        <f t="shared" si="6"/>
        <v>83.315463802346727</v>
      </c>
      <c r="I33" s="213">
        <f t="shared" si="7"/>
        <v>-71084.649999999965</v>
      </c>
    </row>
    <row r="34" spans="1:9" ht="20.100000000000001" customHeight="1">
      <c r="A34" s="169" t="s">
        <v>337</v>
      </c>
      <c r="B34" s="213">
        <v>136691.6</v>
      </c>
      <c r="C34" s="106">
        <v>133571.76</v>
      </c>
      <c r="D34" s="212">
        <f t="shared" si="3"/>
        <v>97.717606641520035</v>
      </c>
      <c r="E34" s="212">
        <f t="shared" si="2"/>
        <v>-3119.8399999999965</v>
      </c>
      <c r="F34" s="213">
        <v>1572529.5</v>
      </c>
      <c r="G34" s="106">
        <v>1403406.73</v>
      </c>
      <c r="H34" s="212">
        <f t="shared" si="6"/>
        <v>89.245176640565404</v>
      </c>
      <c r="I34" s="213">
        <f t="shared" si="7"/>
        <v>-169122.77000000002</v>
      </c>
    </row>
    <row r="35" spans="1:9" ht="20.100000000000001" customHeight="1">
      <c r="A35" s="169" t="s">
        <v>338</v>
      </c>
      <c r="B35" s="213">
        <v>218876.5</v>
      </c>
      <c r="C35" s="213">
        <v>222944.75</v>
      </c>
      <c r="D35" s="212">
        <f t="shared" si="3"/>
        <v>101.85869657089728</v>
      </c>
      <c r="E35" s="212">
        <f t="shared" si="2"/>
        <v>4068.25</v>
      </c>
      <c r="F35" s="213">
        <v>532870.69999999995</v>
      </c>
      <c r="G35" s="213">
        <v>530877.06999999995</v>
      </c>
      <c r="H35" s="212">
        <f t="shared" si="6"/>
        <v>99.625869840469733</v>
      </c>
      <c r="I35" s="213">
        <f t="shared" si="7"/>
        <v>-1993.6300000000047</v>
      </c>
    </row>
    <row r="36" spans="1:9" ht="20.100000000000001" customHeight="1">
      <c r="A36" s="169" t="s">
        <v>339</v>
      </c>
      <c r="B36" s="213">
        <v>116404</v>
      </c>
      <c r="C36" s="213">
        <v>89915.520000000004</v>
      </c>
      <c r="D36" s="212">
        <f t="shared" si="3"/>
        <v>77.244355864059656</v>
      </c>
      <c r="E36" s="212">
        <f t="shared" si="2"/>
        <v>-26488.479999999996</v>
      </c>
      <c r="F36" s="213">
        <v>109685.9</v>
      </c>
      <c r="G36" s="213">
        <v>99613.78</v>
      </c>
      <c r="H36" s="212">
        <f t="shared" si="6"/>
        <v>90.817306508858479</v>
      </c>
      <c r="I36" s="213">
        <f t="shared" si="7"/>
        <v>-10072.119999999995</v>
      </c>
    </row>
    <row r="37" spans="1:9" ht="20.100000000000001" customHeight="1">
      <c r="A37" s="169" t="s">
        <v>340</v>
      </c>
      <c r="B37" s="213">
        <v>20371.3</v>
      </c>
      <c r="C37" s="213">
        <v>13678.26</v>
      </c>
      <c r="D37" s="212">
        <f t="shared" si="3"/>
        <v>67.144757575608821</v>
      </c>
      <c r="E37" s="212">
        <f t="shared" si="2"/>
        <v>-6693.0399999999991</v>
      </c>
      <c r="F37" s="213">
        <v>454673.6</v>
      </c>
      <c r="G37" s="213">
        <v>413671.51</v>
      </c>
      <c r="H37" s="212">
        <f t="shared" si="6"/>
        <v>90.982082531292789</v>
      </c>
      <c r="I37" s="213">
        <f t="shared" si="7"/>
        <v>-41002.089999999967</v>
      </c>
    </row>
    <row r="38" spans="1:9" ht="20.100000000000001" customHeight="1">
      <c r="A38" s="169" t="s">
        <v>341</v>
      </c>
      <c r="B38" s="213">
        <v>147565.4</v>
      </c>
      <c r="C38" s="106">
        <v>143885.84</v>
      </c>
      <c r="D38" s="212">
        <f t="shared" si="3"/>
        <v>97.506488648423002</v>
      </c>
      <c r="E38" s="212">
        <f t="shared" si="2"/>
        <v>-3679.5599999999977</v>
      </c>
      <c r="F38" s="213">
        <v>191212.3</v>
      </c>
      <c r="G38" s="106">
        <v>199389.09</v>
      </c>
      <c r="H38" s="212">
        <f t="shared" si="6"/>
        <v>104.27628871155257</v>
      </c>
      <c r="I38" s="213">
        <f t="shared" si="7"/>
        <v>8176.7900000000081</v>
      </c>
    </row>
    <row r="39" spans="1:9" ht="20.100000000000001" customHeight="1">
      <c r="A39" s="169" t="s">
        <v>131</v>
      </c>
      <c r="B39" s="213">
        <v>6860</v>
      </c>
      <c r="C39" s="106">
        <v>4909.95</v>
      </c>
      <c r="D39" s="212">
        <f t="shared" si="3"/>
        <v>71.573615160349846</v>
      </c>
      <c r="E39" s="212">
        <f t="shared" si="2"/>
        <v>-1950.0500000000002</v>
      </c>
      <c r="F39" s="213"/>
      <c r="G39" s="106"/>
      <c r="H39" s="212" t="e">
        <f t="shared" si="6"/>
        <v>#DIV/0!</v>
      </c>
      <c r="I39" s="213">
        <f t="shared" si="7"/>
        <v>0</v>
      </c>
    </row>
    <row r="40" spans="1:9" ht="20.100000000000001" customHeight="1">
      <c r="A40" s="169" t="s">
        <v>132</v>
      </c>
      <c r="B40" s="213">
        <v>16551.099999999999</v>
      </c>
      <c r="C40" s="106">
        <v>17054.689999999999</v>
      </c>
      <c r="D40" s="212">
        <f t="shared" si="3"/>
        <v>103.04263764946138</v>
      </c>
      <c r="E40" s="212">
        <f t="shared" si="2"/>
        <v>503.59000000000015</v>
      </c>
      <c r="F40" s="213">
        <v>36375.9</v>
      </c>
      <c r="G40" s="106">
        <v>37115.67</v>
      </c>
      <c r="H40" s="212">
        <f t="shared" si="6"/>
        <v>102.03368164086662</v>
      </c>
      <c r="I40" s="213">
        <f t="shared" si="7"/>
        <v>739.7699999999968</v>
      </c>
    </row>
    <row r="41" spans="1:9" ht="21" customHeight="1">
      <c r="A41" s="169" t="s">
        <v>342</v>
      </c>
      <c r="B41" s="213">
        <v>1480</v>
      </c>
      <c r="C41" s="213">
        <v>4762.8</v>
      </c>
      <c r="D41" s="212">
        <f t="shared" si="3"/>
        <v>321.81081081081084</v>
      </c>
      <c r="E41" s="212">
        <f t="shared" si="2"/>
        <v>3282.8</v>
      </c>
      <c r="F41" s="213">
        <v>248348.79999999999</v>
      </c>
      <c r="G41" s="213">
        <v>286948.5</v>
      </c>
      <c r="H41" s="212">
        <f t="shared" si="6"/>
        <v>115.54253533739644</v>
      </c>
      <c r="I41" s="213">
        <f t="shared" si="7"/>
        <v>38599.700000000012</v>
      </c>
    </row>
    <row r="42" spans="1:9" ht="20.100000000000001" customHeight="1">
      <c r="A42" s="169" t="s">
        <v>529</v>
      </c>
      <c r="B42" s="213"/>
      <c r="C42" s="213"/>
      <c r="D42" s="212" t="e">
        <f t="shared" si="3"/>
        <v>#DIV/0!</v>
      </c>
      <c r="E42" s="212">
        <f t="shared" si="2"/>
        <v>0</v>
      </c>
      <c r="F42" s="213">
        <v>12998.3</v>
      </c>
      <c r="G42" s="213">
        <v>13392.51</v>
      </c>
      <c r="H42" s="212">
        <f t="shared" ref="H42:H61" si="8">SUM(G42/F42)*100</f>
        <v>103.03278120985053</v>
      </c>
      <c r="I42" s="213">
        <f t="shared" ref="I42:I61" si="9">SUM(G42-F42)</f>
        <v>394.21000000000095</v>
      </c>
    </row>
    <row r="43" spans="1:9" ht="20.100000000000001" customHeight="1">
      <c r="A43" s="169" t="s">
        <v>530</v>
      </c>
      <c r="B43" s="213">
        <v>91620.6</v>
      </c>
      <c r="C43" s="213">
        <v>90053.3</v>
      </c>
      <c r="D43" s="212">
        <f t="shared" si="3"/>
        <v>98.289358506711366</v>
      </c>
      <c r="E43" s="212">
        <f t="shared" si="2"/>
        <v>-1567.3000000000029</v>
      </c>
      <c r="F43" s="213">
        <v>29840.1</v>
      </c>
      <c r="G43" s="213">
        <v>35509.49</v>
      </c>
      <c r="H43" s="212">
        <f t="shared" si="8"/>
        <v>118.99923257629834</v>
      </c>
      <c r="I43" s="213">
        <f t="shared" si="9"/>
        <v>5669.3899999999994</v>
      </c>
    </row>
    <row r="44" spans="1:9" ht="20.100000000000001" customHeight="1">
      <c r="A44" s="169" t="s">
        <v>547</v>
      </c>
      <c r="B44" s="213"/>
      <c r="C44" s="213"/>
      <c r="D44" s="212" t="e">
        <f t="shared" si="3"/>
        <v>#DIV/0!</v>
      </c>
      <c r="E44" s="212">
        <f t="shared" si="2"/>
        <v>0</v>
      </c>
      <c r="F44" s="213">
        <v>4052.8</v>
      </c>
      <c r="G44" s="212">
        <v>3650.22</v>
      </c>
      <c r="H44" s="212">
        <f t="shared" si="8"/>
        <v>90.066620607974727</v>
      </c>
      <c r="I44" s="213">
        <f t="shared" si="9"/>
        <v>-402.58000000000038</v>
      </c>
    </row>
    <row r="45" spans="1:9" ht="20.100000000000001" customHeight="1">
      <c r="A45" s="169" t="s">
        <v>531</v>
      </c>
      <c r="B45" s="213">
        <v>33202</v>
      </c>
      <c r="C45" s="213">
        <v>33207.9</v>
      </c>
      <c r="D45" s="212">
        <f>SUM(C45/B45)*100</f>
        <v>100.01777001385459</v>
      </c>
      <c r="E45" s="212">
        <f>SUM(C45-B45)</f>
        <v>5.9000000000014552</v>
      </c>
      <c r="F45" s="213">
        <v>60206.6</v>
      </c>
      <c r="G45" s="213">
        <v>95982.53</v>
      </c>
      <c r="H45" s="212">
        <f t="shared" si="8"/>
        <v>159.42194045171127</v>
      </c>
      <c r="I45" s="213">
        <f t="shared" si="9"/>
        <v>35775.93</v>
      </c>
    </row>
    <row r="46" spans="1:9" ht="20.100000000000001" customHeight="1">
      <c r="A46" s="169" t="s">
        <v>532</v>
      </c>
      <c r="B46" s="213">
        <v>11562</v>
      </c>
      <c r="C46" s="213">
        <v>11354.51</v>
      </c>
      <c r="D46" s="212">
        <f t="shared" si="3"/>
        <v>98.205414288185437</v>
      </c>
      <c r="E46" s="212">
        <f t="shared" si="2"/>
        <v>-207.48999999999978</v>
      </c>
      <c r="F46" s="213">
        <v>129814.5</v>
      </c>
      <c r="G46" s="213">
        <v>136788.07</v>
      </c>
      <c r="H46" s="212">
        <f t="shared" si="8"/>
        <v>105.37194997477171</v>
      </c>
      <c r="I46" s="213">
        <f t="shared" si="9"/>
        <v>6973.570000000007</v>
      </c>
    </row>
    <row r="47" spans="1:9" ht="13.5" customHeight="1">
      <c r="A47" s="169" t="s">
        <v>271</v>
      </c>
      <c r="B47" s="213">
        <v>19313</v>
      </c>
      <c r="C47" s="213">
        <v>18509.7</v>
      </c>
      <c r="D47" s="212">
        <f t="shared" si="3"/>
        <v>95.840625485424326</v>
      </c>
      <c r="E47" s="212">
        <f t="shared" si="2"/>
        <v>-803.29999999999927</v>
      </c>
      <c r="F47" s="213">
        <v>1733188</v>
      </c>
      <c r="G47" s="213">
        <v>1691869.85</v>
      </c>
      <c r="H47" s="212">
        <f t="shared" si="8"/>
        <v>97.616060692781176</v>
      </c>
      <c r="I47" s="213">
        <f t="shared" si="9"/>
        <v>-41318.149999999907</v>
      </c>
    </row>
    <row r="48" spans="1:9" ht="13.5" customHeight="1">
      <c r="A48" s="169" t="s">
        <v>142</v>
      </c>
      <c r="B48" s="213"/>
      <c r="C48" s="106"/>
      <c r="D48" s="212"/>
      <c r="E48" s="212"/>
      <c r="F48" s="213"/>
      <c r="G48" s="106"/>
      <c r="H48" s="212" t="e">
        <f t="shared" si="8"/>
        <v>#DIV/0!</v>
      </c>
      <c r="I48" s="213">
        <f t="shared" si="9"/>
        <v>0</v>
      </c>
    </row>
    <row r="49" spans="1:9" ht="13.5" customHeight="1">
      <c r="A49" s="169" t="s">
        <v>272</v>
      </c>
      <c r="B49" s="213"/>
      <c r="C49" s="106"/>
      <c r="D49" s="212" t="e">
        <f>SUM(C49/B49)*100</f>
        <v>#DIV/0!</v>
      </c>
      <c r="E49" s="212">
        <f>SUM(C49-B49)</f>
        <v>0</v>
      </c>
      <c r="F49" s="213">
        <v>828556.3</v>
      </c>
      <c r="G49" s="106">
        <v>815329.42</v>
      </c>
      <c r="H49" s="212">
        <f t="shared" si="8"/>
        <v>98.403623266155833</v>
      </c>
      <c r="I49" s="213">
        <f t="shared" si="9"/>
        <v>-13226.880000000005</v>
      </c>
    </row>
    <row r="50" spans="1:9" ht="13.5" customHeight="1">
      <c r="A50" s="169" t="s">
        <v>343</v>
      </c>
      <c r="B50" s="213">
        <v>92023.58</v>
      </c>
      <c r="C50" s="106">
        <v>92283.74</v>
      </c>
      <c r="D50" s="212">
        <f>SUM(C50/B50)*100</f>
        <v>100.28271014885533</v>
      </c>
      <c r="E50" s="212">
        <f>SUM(C50-B50)</f>
        <v>260.16000000000349</v>
      </c>
      <c r="F50" s="213">
        <v>56124.3</v>
      </c>
      <c r="G50" s="106">
        <v>57281.83</v>
      </c>
      <c r="H50" s="212">
        <f t="shared" si="8"/>
        <v>102.06243997697966</v>
      </c>
      <c r="I50" s="213">
        <f t="shared" si="9"/>
        <v>1157.5299999999988</v>
      </c>
    </row>
    <row r="51" spans="1:9" ht="20.100000000000001" customHeight="1">
      <c r="A51" s="169" t="s">
        <v>143</v>
      </c>
      <c r="B51" s="213"/>
      <c r="C51" s="106"/>
      <c r="D51" s="212" t="e">
        <f>SUM(C51/B51)*100</f>
        <v>#DIV/0!</v>
      </c>
      <c r="E51" s="212">
        <f>SUM(C51-B51)</f>
        <v>0</v>
      </c>
      <c r="F51" s="213">
        <v>42500</v>
      </c>
      <c r="G51" s="106">
        <v>46530.57</v>
      </c>
      <c r="H51" s="212">
        <f t="shared" si="8"/>
        <v>109.48369411764706</v>
      </c>
      <c r="I51" s="213">
        <f t="shared" si="9"/>
        <v>4030.5699999999997</v>
      </c>
    </row>
    <row r="52" spans="1:9" ht="21" customHeight="1">
      <c r="A52" s="169" t="s">
        <v>133</v>
      </c>
      <c r="B52" s="213">
        <v>34087.32</v>
      </c>
      <c r="C52" s="106">
        <v>34225.599999999999</v>
      </c>
      <c r="D52" s="212">
        <f>SUM(C52/B52)*100</f>
        <v>100.40566404164363</v>
      </c>
      <c r="E52" s="212">
        <f>SUM(C52-B52)</f>
        <v>138.27999999999884</v>
      </c>
      <c r="F52" s="213">
        <v>74779.600000000006</v>
      </c>
      <c r="G52" s="213">
        <v>53328.77</v>
      </c>
      <c r="H52" s="212">
        <f t="shared" si="8"/>
        <v>71.31459649423104</v>
      </c>
      <c r="I52" s="213">
        <f t="shared" si="9"/>
        <v>-21450.830000000009</v>
      </c>
    </row>
    <row r="53" spans="1:9" ht="20.100000000000001" customHeight="1">
      <c r="A53" s="169" t="s">
        <v>134</v>
      </c>
      <c r="B53" s="213">
        <v>1710</v>
      </c>
      <c r="C53" s="106">
        <v>1054.5</v>
      </c>
      <c r="D53" s="212">
        <f t="shared" si="3"/>
        <v>61.666666666666671</v>
      </c>
      <c r="E53" s="212">
        <f t="shared" si="2"/>
        <v>-655.5</v>
      </c>
      <c r="F53" s="213">
        <v>55656.7</v>
      </c>
      <c r="G53" s="106">
        <v>55784.63</v>
      </c>
      <c r="H53" s="212">
        <f t="shared" si="8"/>
        <v>100.22985552503113</v>
      </c>
      <c r="I53" s="213">
        <f t="shared" si="9"/>
        <v>127.93000000000029</v>
      </c>
    </row>
    <row r="54" spans="1:9" ht="21.75" customHeight="1">
      <c r="A54" s="1479">
        <v>28</v>
      </c>
      <c r="B54" s="1479"/>
      <c r="C54" s="1479"/>
      <c r="D54" s="1479"/>
      <c r="E54" s="1479"/>
      <c r="F54" s="1479"/>
      <c r="G54" s="1479"/>
      <c r="H54" s="1479"/>
      <c r="I54" s="1479"/>
    </row>
    <row r="55" spans="1:9" ht="21.75" customHeight="1">
      <c r="A55" s="143"/>
      <c r="B55" s="143"/>
      <c r="C55" s="143"/>
      <c r="D55" s="143"/>
      <c r="E55" s="143"/>
      <c r="F55" s="143"/>
      <c r="G55" s="143"/>
      <c r="H55" s="1474" t="s">
        <v>196</v>
      </c>
      <c r="I55" s="1474"/>
    </row>
    <row r="56" spans="1:9" ht="18.75" customHeight="1">
      <c r="A56" s="169" t="s">
        <v>135</v>
      </c>
      <c r="B56" s="213"/>
      <c r="C56" s="106"/>
      <c r="D56" s="212" t="e">
        <f t="shared" ref="D56:D61" si="10">SUM(C56/B56)*100</f>
        <v>#DIV/0!</v>
      </c>
      <c r="E56" s="212">
        <f t="shared" ref="E56:E61" si="11">SUM(C56-B56)</f>
        <v>0</v>
      </c>
      <c r="F56" s="213">
        <v>21543.8</v>
      </c>
      <c r="G56" s="106">
        <v>20832.02</v>
      </c>
      <c r="H56" s="212">
        <f t="shared" si="8"/>
        <v>96.696126031619315</v>
      </c>
      <c r="I56" s="213">
        <f t="shared" si="9"/>
        <v>-711.77999999999884</v>
      </c>
    </row>
    <row r="57" spans="1:9" ht="20.100000000000001" customHeight="1">
      <c r="A57" s="169" t="s">
        <v>344</v>
      </c>
      <c r="B57" s="213">
        <v>8770</v>
      </c>
      <c r="C57" s="213">
        <v>7808.69</v>
      </c>
      <c r="D57" s="212">
        <f t="shared" si="10"/>
        <v>89.038654503990884</v>
      </c>
      <c r="E57" s="212">
        <f t="shared" si="11"/>
        <v>-961.3100000000004</v>
      </c>
      <c r="F57" s="213">
        <v>40197.300000000003</v>
      </c>
      <c r="G57" s="213">
        <v>35064.35</v>
      </c>
      <c r="H57" s="212">
        <f t="shared" si="8"/>
        <v>87.230610016095596</v>
      </c>
      <c r="I57" s="213">
        <f t="shared" si="9"/>
        <v>-5132.9500000000044</v>
      </c>
    </row>
    <row r="58" spans="1:9" ht="18.75" customHeight="1">
      <c r="A58" s="169" t="s">
        <v>74</v>
      </c>
      <c r="B58" s="213">
        <v>230000</v>
      </c>
      <c r="C58" s="106">
        <v>230000</v>
      </c>
      <c r="D58" s="212">
        <f t="shared" si="10"/>
        <v>100</v>
      </c>
      <c r="E58" s="212">
        <f t="shared" si="11"/>
        <v>0</v>
      </c>
      <c r="F58" s="213">
        <v>1391.3</v>
      </c>
      <c r="G58" s="106">
        <v>1391.3</v>
      </c>
      <c r="H58" s="212">
        <f t="shared" si="8"/>
        <v>100</v>
      </c>
      <c r="I58" s="213">
        <f t="shared" si="9"/>
        <v>0</v>
      </c>
    </row>
    <row r="59" spans="1:9" ht="20.100000000000001" customHeight="1">
      <c r="A59" s="169" t="s">
        <v>548</v>
      </c>
      <c r="B59" s="213"/>
      <c r="C59" s="212"/>
      <c r="D59" s="212" t="e">
        <f t="shared" si="10"/>
        <v>#DIV/0!</v>
      </c>
      <c r="E59" s="212">
        <f t="shared" si="11"/>
        <v>0</v>
      </c>
      <c r="F59" s="213">
        <v>1391.3</v>
      </c>
      <c r="G59" s="212">
        <v>1391.3</v>
      </c>
      <c r="H59" s="212">
        <f t="shared" si="8"/>
        <v>100</v>
      </c>
      <c r="I59" s="213">
        <f t="shared" si="9"/>
        <v>0</v>
      </c>
    </row>
    <row r="60" spans="1:9" ht="13.5" customHeight="1">
      <c r="A60" s="172" t="s">
        <v>549</v>
      </c>
      <c r="B60" s="213"/>
      <c r="C60" s="212"/>
      <c r="D60" s="212" t="e">
        <f t="shared" si="10"/>
        <v>#DIV/0!</v>
      </c>
      <c r="E60" s="212">
        <f t="shared" si="11"/>
        <v>0</v>
      </c>
      <c r="F60" s="213">
        <v>50198.3</v>
      </c>
      <c r="G60" s="212">
        <v>50159.17</v>
      </c>
      <c r="H60" s="212">
        <f t="shared" si="8"/>
        <v>99.92204915305895</v>
      </c>
      <c r="I60" s="213">
        <f t="shared" si="9"/>
        <v>-39.130000000004657</v>
      </c>
    </row>
    <row r="61" spans="1:9" ht="13.5" customHeight="1">
      <c r="A61" s="169" t="s">
        <v>533</v>
      </c>
      <c r="B61" s="214"/>
      <c r="C61" s="215"/>
      <c r="D61" s="212" t="e">
        <f t="shared" si="10"/>
        <v>#DIV/0!</v>
      </c>
      <c r="E61" s="212">
        <f t="shared" si="11"/>
        <v>0</v>
      </c>
      <c r="F61" s="214"/>
      <c r="G61" s="215"/>
      <c r="H61" s="215" t="e">
        <f t="shared" si="8"/>
        <v>#DIV/0!</v>
      </c>
      <c r="I61" s="214">
        <f t="shared" si="9"/>
        <v>0</v>
      </c>
    </row>
    <row r="62" spans="1:9" ht="20.100000000000001" customHeight="1">
      <c r="A62" s="169" t="s">
        <v>136</v>
      </c>
      <c r="B62" s="213">
        <v>34100</v>
      </c>
      <c r="C62" s="213">
        <v>31600</v>
      </c>
      <c r="D62" s="212">
        <f t="shared" si="3"/>
        <v>92.668621700879754</v>
      </c>
      <c r="E62" s="213">
        <f t="shared" si="2"/>
        <v>-2500</v>
      </c>
      <c r="F62" s="213">
        <v>7900</v>
      </c>
      <c r="G62" s="213">
        <v>7891.54</v>
      </c>
      <c r="H62" s="212">
        <f>SUM(G62/F62)*100</f>
        <v>99.892911392405054</v>
      </c>
      <c r="I62" s="213">
        <f>SUM(G62-F62)</f>
        <v>-8.4600000000000364</v>
      </c>
    </row>
    <row r="63" spans="1:9" ht="24" customHeight="1">
      <c r="A63" s="169" t="s">
        <v>550</v>
      </c>
      <c r="B63" s="212">
        <v>22228.1</v>
      </c>
      <c r="C63" s="212">
        <v>25307.8</v>
      </c>
      <c r="D63" s="212">
        <f>SUM(C63/B63)*100</f>
        <v>113.85498535637323</v>
      </c>
      <c r="E63" s="212">
        <f>SUM(C63-B63)</f>
        <v>3079.7000000000007</v>
      </c>
      <c r="F63" s="212">
        <v>27778.7</v>
      </c>
      <c r="G63" s="212">
        <v>27099.61</v>
      </c>
      <c r="H63" s="212">
        <f>SUM(G63/F63)*100</f>
        <v>97.555357162142215</v>
      </c>
      <c r="I63" s="213">
        <f>SUM(G63-F63)</f>
        <v>-679.09000000000015</v>
      </c>
    </row>
    <row r="64" spans="1:9" ht="30" customHeight="1">
      <c r="A64" s="169" t="s">
        <v>534</v>
      </c>
      <c r="B64" s="213">
        <v>5000</v>
      </c>
      <c r="C64" s="213">
        <v>4991.68</v>
      </c>
      <c r="D64" s="212">
        <f>SUM(C64/B64)*100</f>
        <v>99.833600000000018</v>
      </c>
      <c r="E64" s="213">
        <f>SUM(C64-B64)</f>
        <v>-8.319999999999709</v>
      </c>
      <c r="F64" s="213"/>
      <c r="G64" s="213"/>
      <c r="H64" s="145" t="e">
        <f>SUM(G64/F64)*100</f>
        <v>#DIV/0!</v>
      </c>
      <c r="I64" s="213">
        <f>SUM(G64-F64)</f>
        <v>0</v>
      </c>
    </row>
    <row r="65" spans="1:9" ht="27" customHeight="1">
      <c r="A65" s="169" t="s">
        <v>535</v>
      </c>
      <c r="B65" s="212"/>
      <c r="C65" s="212"/>
      <c r="D65" s="145" t="e">
        <f t="shared" si="3"/>
        <v>#DIV/0!</v>
      </c>
      <c r="E65" s="213">
        <f t="shared" si="2"/>
        <v>0</v>
      </c>
      <c r="F65" s="212">
        <v>139550</v>
      </c>
      <c r="G65" s="212">
        <v>139550</v>
      </c>
      <c r="H65" s="145">
        <f>SUM(G65/F65)*100</f>
        <v>100</v>
      </c>
      <c r="I65" s="213">
        <f>SUM(G65-F65)</f>
        <v>0</v>
      </c>
    </row>
    <row r="66" spans="1:9" ht="18.75" customHeight="1">
      <c r="A66" s="169" t="s">
        <v>536</v>
      </c>
      <c r="B66" s="213">
        <v>298975.09999999998</v>
      </c>
      <c r="C66" s="213">
        <v>296914.5</v>
      </c>
      <c r="D66" s="212">
        <f t="shared" si="3"/>
        <v>99.310778723713128</v>
      </c>
      <c r="E66" s="213">
        <f t="shared" si="2"/>
        <v>-2060.5999999999767</v>
      </c>
      <c r="F66" s="213"/>
      <c r="G66" s="213"/>
      <c r="H66" s="212"/>
      <c r="I66" s="212"/>
    </row>
    <row r="67" spans="1:9" ht="21.75" customHeight="1">
      <c r="A67" s="169" t="s">
        <v>137</v>
      </c>
      <c r="B67" s="213">
        <v>2042074.9</v>
      </c>
      <c r="C67" s="213">
        <v>1986863.36</v>
      </c>
      <c r="D67" s="212">
        <f t="shared" si="3"/>
        <v>97.296301913313769</v>
      </c>
      <c r="E67" s="213">
        <f t="shared" si="2"/>
        <v>-55211.539999999804</v>
      </c>
      <c r="F67" s="213"/>
      <c r="G67" s="213"/>
      <c r="H67" s="212"/>
      <c r="I67" s="212"/>
    </row>
    <row r="68" spans="1:9" ht="24.75" customHeight="1">
      <c r="A68" s="169" t="s">
        <v>537</v>
      </c>
      <c r="B68" s="213">
        <v>37250</v>
      </c>
      <c r="C68" s="213">
        <v>37250</v>
      </c>
      <c r="D68" s="212">
        <f t="shared" si="3"/>
        <v>100</v>
      </c>
      <c r="E68" s="212">
        <f t="shared" si="2"/>
        <v>0</v>
      </c>
      <c r="F68" s="213"/>
      <c r="G68" s="213"/>
      <c r="H68" s="212"/>
      <c r="I68" s="212"/>
    </row>
    <row r="69" spans="1:9" ht="27" customHeight="1">
      <c r="A69" s="169" t="s">
        <v>138</v>
      </c>
      <c r="B69" s="213">
        <v>253190</v>
      </c>
      <c r="C69" s="213">
        <v>243442</v>
      </c>
      <c r="D69" s="212">
        <f t="shared" si="3"/>
        <v>96.149926932343305</v>
      </c>
      <c r="E69" s="213">
        <f t="shared" si="2"/>
        <v>-9748</v>
      </c>
      <c r="F69" s="213"/>
      <c r="G69" s="213"/>
      <c r="H69" s="212"/>
      <c r="I69" s="212"/>
    </row>
    <row r="70" spans="1:9" ht="32.25" customHeight="1">
      <c r="A70" s="169" t="s">
        <v>551</v>
      </c>
      <c r="B70" s="106"/>
      <c r="C70" s="212"/>
      <c r="D70" s="212" t="e">
        <f>SUM(C70/B70)*100</f>
        <v>#DIV/0!</v>
      </c>
      <c r="E70" s="213">
        <f>SUM(C70-B70)</f>
        <v>0</v>
      </c>
      <c r="F70" s="106">
        <v>5055</v>
      </c>
      <c r="G70" s="212">
        <v>5055</v>
      </c>
      <c r="H70" s="212">
        <f t="shared" ref="H70:H80" si="12">SUM(G70/F70)*100</f>
        <v>100</v>
      </c>
      <c r="I70" s="213">
        <f t="shared" ref="I70:I80" si="13">SUM(G70-F70)</f>
        <v>0</v>
      </c>
    </row>
    <row r="71" spans="1:9" ht="27" customHeight="1">
      <c r="A71" s="169" t="s">
        <v>538</v>
      </c>
      <c r="B71" s="106"/>
      <c r="C71" s="212"/>
      <c r="D71" s="212" t="e">
        <f t="shared" ref="D71:D78" si="14">SUM(C71/B71)*100</f>
        <v>#DIV/0!</v>
      </c>
      <c r="E71" s="213">
        <f t="shared" ref="E71:E78" si="15">SUM(C71-B71)</f>
        <v>0</v>
      </c>
      <c r="F71" s="106">
        <v>46208.7</v>
      </c>
      <c r="G71" s="212">
        <v>44221.56</v>
      </c>
      <c r="H71" s="212">
        <f t="shared" si="12"/>
        <v>95.6996409766992</v>
      </c>
      <c r="I71" s="213">
        <f t="shared" si="13"/>
        <v>-1987.1399999999994</v>
      </c>
    </row>
    <row r="72" spans="1:9" ht="31.5" customHeight="1">
      <c r="A72" s="169" t="s">
        <v>539</v>
      </c>
      <c r="B72" s="106"/>
      <c r="C72" s="106"/>
      <c r="D72" s="212" t="e">
        <f t="shared" si="14"/>
        <v>#DIV/0!</v>
      </c>
      <c r="E72" s="213">
        <f t="shared" si="15"/>
        <v>0</v>
      </c>
      <c r="F72" s="106">
        <v>5664.5</v>
      </c>
      <c r="G72" s="106">
        <v>4917.07</v>
      </c>
      <c r="H72" s="212">
        <f t="shared" si="12"/>
        <v>86.805013681701823</v>
      </c>
      <c r="I72" s="213">
        <f t="shared" si="13"/>
        <v>-747.43000000000029</v>
      </c>
    </row>
    <row r="73" spans="1:9" ht="27" customHeight="1">
      <c r="A73" s="169" t="s">
        <v>552</v>
      </c>
      <c r="B73" s="106"/>
      <c r="C73" s="106"/>
      <c r="D73" s="212" t="e">
        <f t="shared" si="14"/>
        <v>#DIV/0!</v>
      </c>
      <c r="E73" s="213">
        <f t="shared" si="15"/>
        <v>0</v>
      </c>
      <c r="F73" s="106">
        <v>1549.6</v>
      </c>
      <c r="G73" s="106">
        <v>1473.24</v>
      </c>
      <c r="H73" s="212">
        <f t="shared" si="12"/>
        <v>95.07227671657202</v>
      </c>
      <c r="I73" s="213">
        <f t="shared" si="13"/>
        <v>-76.3599999999999</v>
      </c>
    </row>
    <row r="74" spans="1:9" ht="19.5" customHeight="1">
      <c r="A74" s="169" t="s">
        <v>0</v>
      </c>
      <c r="B74" s="213"/>
      <c r="C74" s="106"/>
      <c r="D74" s="212" t="e">
        <f t="shared" si="14"/>
        <v>#DIV/0!</v>
      </c>
      <c r="E74" s="213">
        <f t="shared" si="15"/>
        <v>0</v>
      </c>
      <c r="F74" s="213">
        <v>600</v>
      </c>
      <c r="G74" s="106"/>
      <c r="H74" s="145">
        <f t="shared" si="12"/>
        <v>0</v>
      </c>
      <c r="I74" s="213">
        <f t="shared" si="13"/>
        <v>-600</v>
      </c>
    </row>
    <row r="75" spans="1:9" ht="19.5" customHeight="1">
      <c r="A75" s="169" t="s">
        <v>553</v>
      </c>
      <c r="B75" s="106"/>
      <c r="C75" s="106"/>
      <c r="D75" s="212" t="e">
        <f t="shared" si="14"/>
        <v>#DIV/0!</v>
      </c>
      <c r="E75" s="212">
        <f t="shared" si="15"/>
        <v>0</v>
      </c>
      <c r="F75" s="106">
        <v>3609.8</v>
      </c>
      <c r="G75" s="106">
        <v>3530.95</v>
      </c>
      <c r="H75" s="212">
        <f t="shared" si="12"/>
        <v>97.815668458086307</v>
      </c>
      <c r="I75" s="213">
        <f t="shared" si="13"/>
        <v>-78.850000000000364</v>
      </c>
    </row>
    <row r="76" spans="1:9" ht="19.5" customHeight="1">
      <c r="A76" s="169" t="s">
        <v>554</v>
      </c>
      <c r="B76" s="212"/>
      <c r="C76" s="212"/>
      <c r="D76" s="212" t="e">
        <f t="shared" si="14"/>
        <v>#DIV/0!</v>
      </c>
      <c r="E76" s="212">
        <f t="shared" si="15"/>
        <v>0</v>
      </c>
      <c r="F76" s="212">
        <v>3310</v>
      </c>
      <c r="G76" s="212">
        <v>3310</v>
      </c>
      <c r="H76" s="212">
        <f t="shared" si="12"/>
        <v>100</v>
      </c>
      <c r="I76" s="213">
        <f t="shared" si="13"/>
        <v>0</v>
      </c>
    </row>
    <row r="77" spans="1:9" ht="20.100000000000001" customHeight="1">
      <c r="A77" s="169" t="s">
        <v>540</v>
      </c>
      <c r="B77" s="106"/>
      <c r="C77" s="106"/>
      <c r="D77" s="212" t="e">
        <f t="shared" si="14"/>
        <v>#DIV/0!</v>
      </c>
      <c r="E77" s="212">
        <f t="shared" si="15"/>
        <v>0</v>
      </c>
      <c r="F77" s="106">
        <v>604.29999999999995</v>
      </c>
      <c r="G77" s="106">
        <v>448.6</v>
      </c>
      <c r="H77" s="212">
        <f t="shared" si="12"/>
        <v>74.234651663081266</v>
      </c>
      <c r="I77" s="213">
        <f t="shared" si="13"/>
        <v>-155.69999999999993</v>
      </c>
    </row>
    <row r="78" spans="1:9" ht="20.100000000000001" customHeight="1">
      <c r="A78" s="169" t="s">
        <v>555</v>
      </c>
      <c r="B78" s="106"/>
      <c r="C78" s="106"/>
      <c r="D78" s="212" t="e">
        <f t="shared" si="14"/>
        <v>#DIV/0!</v>
      </c>
      <c r="E78" s="212">
        <f t="shared" si="15"/>
        <v>0</v>
      </c>
      <c r="F78" s="106">
        <v>9828.9</v>
      </c>
      <c r="G78" s="106">
        <v>9996.19</v>
      </c>
      <c r="H78" s="212">
        <f t="shared" si="12"/>
        <v>101.70202158939455</v>
      </c>
      <c r="I78" s="213">
        <f t="shared" si="13"/>
        <v>167.29000000000087</v>
      </c>
    </row>
    <row r="79" spans="1:9" ht="20.100000000000001" customHeight="1">
      <c r="A79" s="169" t="s">
        <v>556</v>
      </c>
      <c r="B79" s="212"/>
      <c r="C79" s="106"/>
      <c r="D79" s="212"/>
      <c r="E79" s="212"/>
      <c r="F79" s="212"/>
      <c r="G79" s="106"/>
      <c r="H79" s="212" t="e">
        <f t="shared" si="12"/>
        <v>#DIV/0!</v>
      </c>
      <c r="I79" s="213">
        <f t="shared" si="13"/>
        <v>0</v>
      </c>
    </row>
    <row r="80" spans="1:9" ht="20.100000000000001" customHeight="1">
      <c r="A80" s="550" t="s">
        <v>139</v>
      </c>
      <c r="B80" s="212">
        <v>10400</v>
      </c>
      <c r="C80" s="106">
        <v>10226.84</v>
      </c>
      <c r="D80" s="212">
        <f>SUM(C80/B80)*100</f>
        <v>98.335000000000008</v>
      </c>
      <c r="E80" s="212">
        <f>SUM(C80-B80)</f>
        <v>-173.15999999999985</v>
      </c>
      <c r="F80" s="212">
        <v>14020</v>
      </c>
      <c r="G80" s="106">
        <v>14009.68</v>
      </c>
      <c r="H80" s="212">
        <f t="shared" si="12"/>
        <v>99.926390870185458</v>
      </c>
      <c r="I80" s="213">
        <f t="shared" si="13"/>
        <v>-10.319999999999709</v>
      </c>
    </row>
    <row r="81" spans="1:9" ht="20.100000000000001" customHeight="1">
      <c r="A81" s="169" t="s">
        <v>153</v>
      </c>
      <c r="B81" s="106">
        <v>279488.38</v>
      </c>
      <c r="C81" s="213">
        <v>227960.76</v>
      </c>
      <c r="D81" s="212">
        <f t="shared" si="3"/>
        <v>81.563591302078464</v>
      </c>
      <c r="E81" s="213">
        <f t="shared" si="2"/>
        <v>-51527.619999999995</v>
      </c>
      <c r="F81" s="106">
        <v>2495526.4</v>
      </c>
      <c r="G81" s="213">
        <v>2327595.23</v>
      </c>
      <c r="H81" s="212">
        <f t="shared" ref="H81:H93" si="16">SUM(G81/F81)*100</f>
        <v>93.270711542061832</v>
      </c>
      <c r="I81" s="213">
        <f t="shared" ref="I81:I97" si="17">SUM(G81-F81)</f>
        <v>-167931.16999999993</v>
      </c>
    </row>
    <row r="82" spans="1:9" ht="20.100000000000001" customHeight="1">
      <c r="A82" s="169" t="s">
        <v>541</v>
      </c>
      <c r="B82" s="213">
        <v>126536.48</v>
      </c>
      <c r="C82" s="213">
        <v>76014.87</v>
      </c>
      <c r="D82" s="212">
        <f t="shared" si="3"/>
        <v>60.07348236650806</v>
      </c>
      <c r="E82" s="213">
        <f t="shared" si="2"/>
        <v>-50521.61</v>
      </c>
      <c r="F82" s="213">
        <v>13405.8</v>
      </c>
      <c r="G82" s="213">
        <v>13295.2</v>
      </c>
      <c r="H82" s="212">
        <f t="shared" si="16"/>
        <v>99.174983962165641</v>
      </c>
      <c r="I82" s="213">
        <f t="shared" si="17"/>
        <v>-110.59999999999854</v>
      </c>
    </row>
    <row r="83" spans="1:9" ht="24" customHeight="1">
      <c r="A83" s="169" t="s">
        <v>666</v>
      </c>
      <c r="B83" s="213">
        <v>145251.9</v>
      </c>
      <c r="C83" s="213">
        <v>144789.95000000001</v>
      </c>
      <c r="D83" s="212">
        <f t="shared" ref="D83:D97" si="18">SUM(C83/B83)*100</f>
        <v>99.68196629441681</v>
      </c>
      <c r="E83" s="213">
        <f t="shared" ref="E83:E97" si="19">SUM(C83-B83)</f>
        <v>-461.94999999998254</v>
      </c>
      <c r="F83" s="213">
        <v>2334189.1</v>
      </c>
      <c r="G83" s="213">
        <v>2166368.5299999998</v>
      </c>
      <c r="H83" s="212">
        <f t="shared" si="16"/>
        <v>92.810326721172657</v>
      </c>
      <c r="I83" s="213">
        <f t="shared" si="17"/>
        <v>-167820.5700000003</v>
      </c>
    </row>
    <row r="84" spans="1:9" ht="30" customHeight="1">
      <c r="A84" s="169" t="s">
        <v>667</v>
      </c>
      <c r="B84" s="213">
        <v>78352.5</v>
      </c>
      <c r="C84" s="213">
        <v>78552.5</v>
      </c>
      <c r="D84" s="212">
        <f t="shared" si="18"/>
        <v>100.25525669251141</v>
      </c>
      <c r="E84" s="213">
        <f t="shared" si="19"/>
        <v>200</v>
      </c>
      <c r="F84" s="213">
        <v>592273.4</v>
      </c>
      <c r="G84" s="213">
        <v>471663.44</v>
      </c>
      <c r="H84" s="212">
        <f t="shared" si="16"/>
        <v>79.636100490077723</v>
      </c>
      <c r="I84" s="213">
        <f t="shared" si="17"/>
        <v>-120609.96000000002</v>
      </c>
    </row>
    <row r="85" spans="1:9" ht="16.5" customHeight="1">
      <c r="A85" s="169" t="s">
        <v>542</v>
      </c>
      <c r="B85" s="213">
        <v>66899.399999999994</v>
      </c>
      <c r="C85" s="213">
        <v>66237.45</v>
      </c>
      <c r="D85" s="212">
        <f t="shared" si="18"/>
        <v>99.010529242414734</v>
      </c>
      <c r="E85" s="213">
        <f t="shared" si="19"/>
        <v>-661.94999999999709</v>
      </c>
      <c r="F85" s="213">
        <v>48708</v>
      </c>
      <c r="G85" s="213">
        <v>47080.82</v>
      </c>
      <c r="H85" s="212">
        <f t="shared" si="16"/>
        <v>96.659316744682599</v>
      </c>
      <c r="I85" s="213">
        <f t="shared" si="17"/>
        <v>-1627.1800000000003</v>
      </c>
    </row>
    <row r="86" spans="1:9" ht="29.25" customHeight="1">
      <c r="A86" s="169" t="s">
        <v>557</v>
      </c>
      <c r="B86" s="212"/>
      <c r="C86" s="212"/>
      <c r="D86" s="212" t="e">
        <f t="shared" si="18"/>
        <v>#DIV/0!</v>
      </c>
      <c r="E86" s="212">
        <f t="shared" si="19"/>
        <v>0</v>
      </c>
      <c r="F86" s="212">
        <v>2347.5</v>
      </c>
      <c r="G86" s="212">
        <v>1675.5</v>
      </c>
      <c r="H86" s="212">
        <f t="shared" si="16"/>
        <v>71.373801916932905</v>
      </c>
      <c r="I86" s="213">
        <f t="shared" si="17"/>
        <v>-672</v>
      </c>
    </row>
    <row r="87" spans="1:9" ht="24.75" customHeight="1">
      <c r="A87" s="169" t="s">
        <v>668</v>
      </c>
      <c r="B87" s="212"/>
      <c r="C87" s="212"/>
      <c r="D87" s="212" t="e">
        <f t="shared" si="18"/>
        <v>#DIV/0!</v>
      </c>
      <c r="E87" s="212">
        <f t="shared" si="19"/>
        <v>0</v>
      </c>
      <c r="F87" s="212">
        <v>1300</v>
      </c>
      <c r="G87" s="212">
        <v>1299.55</v>
      </c>
      <c r="H87" s="212">
        <f t="shared" si="16"/>
        <v>99.965384615384608</v>
      </c>
      <c r="I87" s="213">
        <f t="shared" si="17"/>
        <v>-0.45000000000004547</v>
      </c>
    </row>
    <row r="88" spans="1:9" ht="15.75" customHeight="1">
      <c r="A88" s="169" t="s">
        <v>558</v>
      </c>
      <c r="B88" s="213"/>
      <c r="C88" s="213"/>
      <c r="D88" s="212" t="e">
        <f t="shared" si="18"/>
        <v>#DIV/0!</v>
      </c>
      <c r="E88" s="212">
        <f t="shared" si="19"/>
        <v>0</v>
      </c>
      <c r="F88" s="213">
        <v>9095</v>
      </c>
      <c r="G88" s="213">
        <v>9502.44</v>
      </c>
      <c r="H88" s="212">
        <f t="shared" si="16"/>
        <v>104.47982407916439</v>
      </c>
      <c r="I88" s="213">
        <f t="shared" si="17"/>
        <v>407.44000000000051</v>
      </c>
    </row>
    <row r="89" spans="1:9" ht="30" customHeight="1">
      <c r="A89" s="169" t="s">
        <v>669</v>
      </c>
      <c r="B89" s="212"/>
      <c r="C89" s="212"/>
      <c r="D89" s="212" t="e">
        <f t="shared" si="18"/>
        <v>#DIV/0!</v>
      </c>
      <c r="E89" s="212">
        <f t="shared" si="19"/>
        <v>0</v>
      </c>
      <c r="F89" s="212">
        <v>1680465.2</v>
      </c>
      <c r="G89" s="212">
        <v>1635146.78</v>
      </c>
      <c r="H89" s="212">
        <f t="shared" si="16"/>
        <v>97.303221750739027</v>
      </c>
      <c r="I89" s="213">
        <f t="shared" si="17"/>
        <v>-45318.419999999925</v>
      </c>
    </row>
    <row r="90" spans="1:9" ht="15" customHeight="1">
      <c r="A90" s="169" t="s">
        <v>559</v>
      </c>
      <c r="B90" s="212"/>
      <c r="C90" s="212"/>
      <c r="D90" s="212" t="e">
        <f t="shared" si="18"/>
        <v>#DIV/0!</v>
      </c>
      <c r="E90" s="212">
        <f t="shared" si="19"/>
        <v>0</v>
      </c>
      <c r="F90" s="212">
        <v>427670</v>
      </c>
      <c r="G90" s="212">
        <v>364288.23</v>
      </c>
      <c r="H90" s="212">
        <f t="shared" si="16"/>
        <v>85.179748404143368</v>
      </c>
      <c r="I90" s="213">
        <f t="shared" si="17"/>
        <v>-63381.770000000019</v>
      </c>
    </row>
    <row r="91" spans="1:9" ht="15" customHeight="1">
      <c r="A91" s="169" t="s">
        <v>543</v>
      </c>
      <c r="B91" s="212"/>
      <c r="C91" s="212"/>
      <c r="D91" s="212" t="e">
        <f t="shared" si="18"/>
        <v>#DIV/0!</v>
      </c>
      <c r="E91" s="212">
        <f t="shared" si="19"/>
        <v>0</v>
      </c>
      <c r="F91" s="212">
        <v>10703.3</v>
      </c>
      <c r="G91" s="212">
        <v>8605.02</v>
      </c>
      <c r="H91" s="212">
        <f t="shared" si="16"/>
        <v>80.395952650117266</v>
      </c>
      <c r="I91" s="213">
        <f t="shared" si="17"/>
        <v>-2098.2799999999988</v>
      </c>
    </row>
    <row r="92" spans="1:9" ht="20.100000000000001" customHeight="1">
      <c r="A92" s="169" t="s">
        <v>556</v>
      </c>
      <c r="B92" s="212"/>
      <c r="C92" s="212"/>
      <c r="D92" s="212" t="e">
        <f t="shared" si="18"/>
        <v>#DIV/0!</v>
      </c>
      <c r="E92" s="212">
        <f t="shared" si="19"/>
        <v>0</v>
      </c>
      <c r="F92" s="212">
        <v>8341.7999999999993</v>
      </c>
      <c r="G92" s="212">
        <v>6421.62</v>
      </c>
      <c r="H92" s="212">
        <f t="shared" si="16"/>
        <v>76.981227073293539</v>
      </c>
      <c r="I92" s="213">
        <f t="shared" si="17"/>
        <v>-1920.1799999999994</v>
      </c>
    </row>
    <row r="93" spans="1:9" ht="20.100000000000001" customHeight="1">
      <c r="A93" s="169" t="s">
        <v>560</v>
      </c>
      <c r="B93" s="212"/>
      <c r="C93" s="212"/>
      <c r="D93" s="212" t="e">
        <f t="shared" si="18"/>
        <v>#DIV/0!</v>
      </c>
      <c r="E93" s="212">
        <f t="shared" si="19"/>
        <v>0</v>
      </c>
      <c r="F93" s="212">
        <v>2361.5</v>
      </c>
      <c r="G93" s="212">
        <v>2183.4</v>
      </c>
      <c r="H93" s="212">
        <f t="shared" si="16"/>
        <v>92.458183358035157</v>
      </c>
      <c r="I93" s="213">
        <f t="shared" si="17"/>
        <v>-178.09999999999991</v>
      </c>
    </row>
    <row r="94" spans="1:9" ht="20.100000000000001" customHeight="1">
      <c r="A94" s="169" t="s">
        <v>140</v>
      </c>
      <c r="B94" s="213"/>
      <c r="C94" s="213"/>
      <c r="D94" s="212" t="e">
        <f t="shared" si="18"/>
        <v>#DIV/0!</v>
      </c>
      <c r="E94" s="213">
        <f t="shared" si="19"/>
        <v>0</v>
      </c>
      <c r="F94" s="213"/>
      <c r="G94" s="213"/>
      <c r="H94" s="212"/>
      <c r="I94" s="213"/>
    </row>
    <row r="95" spans="1:9" ht="24" customHeight="1">
      <c r="A95" s="169" t="s">
        <v>154</v>
      </c>
      <c r="B95" s="213">
        <v>2326807.7999999998</v>
      </c>
      <c r="C95" s="213">
        <v>2228124.2999999998</v>
      </c>
      <c r="D95" s="212">
        <f t="shared" si="18"/>
        <v>95.758846089479334</v>
      </c>
      <c r="E95" s="213">
        <f t="shared" si="19"/>
        <v>-98683.5</v>
      </c>
      <c r="F95" s="213"/>
      <c r="G95" s="213"/>
      <c r="H95" s="212"/>
      <c r="I95" s="213"/>
    </row>
    <row r="96" spans="1:9" ht="28.5" customHeight="1">
      <c r="A96" s="169" t="s">
        <v>564</v>
      </c>
      <c r="B96" s="212"/>
      <c r="C96" s="213">
        <v>195741.9</v>
      </c>
      <c r="D96" s="212" t="e">
        <f t="shared" si="18"/>
        <v>#DIV/0!</v>
      </c>
      <c r="E96" s="213">
        <f t="shared" si="19"/>
        <v>195741.9</v>
      </c>
      <c r="F96" s="212"/>
      <c r="G96" s="213"/>
      <c r="H96" s="212"/>
      <c r="I96" s="213">
        <f t="shared" si="17"/>
        <v>0</v>
      </c>
    </row>
    <row r="97" spans="1:9" ht="15.75" customHeight="1">
      <c r="A97" s="169" t="s">
        <v>321</v>
      </c>
      <c r="B97" s="106"/>
      <c r="C97" s="213"/>
      <c r="D97" s="212" t="e">
        <f t="shared" si="18"/>
        <v>#DIV/0!</v>
      </c>
      <c r="E97" s="213">
        <f t="shared" si="19"/>
        <v>0</v>
      </c>
      <c r="F97" s="106"/>
      <c r="G97" s="213"/>
      <c r="H97" s="212"/>
      <c r="I97" s="213">
        <f t="shared" si="17"/>
        <v>0</v>
      </c>
    </row>
    <row r="98" spans="1:9" ht="17.25" customHeight="1">
      <c r="A98" s="169" t="s">
        <v>155</v>
      </c>
      <c r="B98" s="106">
        <v>77</v>
      </c>
      <c r="C98" s="106">
        <v>77</v>
      </c>
      <c r="D98" s="212">
        <f t="shared" ref="D98:D103" si="20">SUM(C98/B98)*100</f>
        <v>100</v>
      </c>
      <c r="E98" s="212">
        <f t="shared" ref="E98:E103" si="21">SUM(C98-B98)</f>
        <v>0</v>
      </c>
      <c r="F98" s="106">
        <v>106</v>
      </c>
      <c r="G98" s="106">
        <v>106</v>
      </c>
      <c r="H98" s="212">
        <f t="shared" ref="H98:H103" si="22">SUM(G98/F98)*100</f>
        <v>100</v>
      </c>
      <c r="I98" s="213">
        <f t="shared" ref="I98:I103" si="23">SUM(G98-F98)</f>
        <v>0</v>
      </c>
    </row>
    <row r="99" spans="1:9" ht="17.25" customHeight="1">
      <c r="A99" s="169" t="s">
        <v>156</v>
      </c>
      <c r="B99" s="106">
        <v>514</v>
      </c>
      <c r="C99" s="212">
        <v>514</v>
      </c>
      <c r="D99" s="212">
        <f t="shared" si="20"/>
        <v>100</v>
      </c>
      <c r="E99" s="212">
        <f t="shared" si="21"/>
        <v>0</v>
      </c>
      <c r="F99" s="106">
        <v>3658.5</v>
      </c>
      <c r="G99" s="212">
        <v>3706</v>
      </c>
      <c r="H99" s="212">
        <f t="shared" si="22"/>
        <v>101.29834631679651</v>
      </c>
      <c r="I99" s="213">
        <f t="shared" si="23"/>
        <v>47.5</v>
      </c>
    </row>
    <row r="100" spans="1:9" ht="17.25" customHeight="1">
      <c r="A100" s="169" t="s">
        <v>157</v>
      </c>
      <c r="B100" s="212">
        <v>143</v>
      </c>
      <c r="C100" s="212">
        <v>143</v>
      </c>
      <c r="D100" s="212">
        <f t="shared" si="20"/>
        <v>100</v>
      </c>
      <c r="E100" s="212">
        <f t="shared" si="21"/>
        <v>0</v>
      </c>
      <c r="F100" s="212">
        <v>131</v>
      </c>
      <c r="G100" s="212">
        <v>131</v>
      </c>
      <c r="H100" s="212">
        <f t="shared" si="22"/>
        <v>100</v>
      </c>
      <c r="I100" s="213">
        <f t="shared" si="23"/>
        <v>0</v>
      </c>
    </row>
    <row r="101" spans="1:9" ht="17.25" customHeight="1">
      <c r="A101" s="169" t="s">
        <v>158</v>
      </c>
      <c r="B101" s="212">
        <v>243</v>
      </c>
      <c r="C101" s="212">
        <v>244</v>
      </c>
      <c r="D101" s="212">
        <f t="shared" si="20"/>
        <v>100.41152263374487</v>
      </c>
      <c r="E101" s="212">
        <f t="shared" si="21"/>
        <v>1</v>
      </c>
      <c r="F101" s="212">
        <v>2528</v>
      </c>
      <c r="G101" s="212">
        <v>2540</v>
      </c>
      <c r="H101" s="212">
        <f t="shared" si="22"/>
        <v>100.4746835443038</v>
      </c>
      <c r="I101" s="213">
        <f t="shared" si="23"/>
        <v>12</v>
      </c>
    </row>
    <row r="102" spans="1:9" ht="17.25" customHeight="1">
      <c r="A102" s="169" t="s">
        <v>159</v>
      </c>
      <c r="B102" s="106">
        <v>92</v>
      </c>
      <c r="C102" s="106">
        <v>87</v>
      </c>
      <c r="D102" s="212">
        <f t="shared" si="20"/>
        <v>94.565217391304344</v>
      </c>
      <c r="E102" s="212">
        <f t="shared" si="21"/>
        <v>-5</v>
      </c>
      <c r="F102" s="106">
        <v>881.5</v>
      </c>
      <c r="G102" s="106">
        <v>902</v>
      </c>
      <c r="H102" s="212">
        <f t="shared" si="22"/>
        <v>102.32558139534885</v>
      </c>
      <c r="I102" s="213">
        <f t="shared" si="23"/>
        <v>20.5</v>
      </c>
    </row>
    <row r="103" spans="1:9" ht="17.25" customHeight="1">
      <c r="A103" s="173" t="s">
        <v>544</v>
      </c>
      <c r="B103" s="176">
        <v>36</v>
      </c>
      <c r="C103" s="176">
        <v>31</v>
      </c>
      <c r="D103" s="212">
        <f t="shared" si="20"/>
        <v>86.111111111111114</v>
      </c>
      <c r="E103" s="212">
        <f t="shared" si="21"/>
        <v>-5</v>
      </c>
      <c r="F103" s="176">
        <v>118</v>
      </c>
      <c r="G103" s="176">
        <v>133</v>
      </c>
      <c r="H103" s="212">
        <f t="shared" si="22"/>
        <v>112.71186440677967</v>
      </c>
      <c r="I103" s="213">
        <f t="shared" si="23"/>
        <v>15</v>
      </c>
    </row>
    <row r="104" spans="1:9" ht="34.5" customHeight="1">
      <c r="A104" s="1473">
        <v>29</v>
      </c>
      <c r="B104" s="1473"/>
      <c r="C104" s="1473"/>
      <c r="D104" s="1473"/>
      <c r="E104" s="1473"/>
      <c r="F104" s="1473"/>
      <c r="G104" s="1473"/>
      <c r="H104" s="1473"/>
      <c r="I104" s="1473"/>
    </row>
    <row r="105" spans="1:9" ht="20.100000000000001" customHeight="1">
      <c r="A105" s="107"/>
      <c r="B105" s="123"/>
      <c r="C105" s="123"/>
      <c r="D105" s="123"/>
      <c r="E105" s="123"/>
      <c r="F105" s="125"/>
      <c r="G105" s="125"/>
      <c r="H105" s="125"/>
      <c r="I105" s="125"/>
    </row>
    <row r="106" spans="1:9" ht="20.25" customHeight="1">
      <c r="A106" s="107"/>
      <c r="B106" s="123"/>
      <c r="C106" s="123"/>
      <c r="D106" s="123"/>
      <c r="E106" s="123"/>
      <c r="F106" s="125"/>
      <c r="G106" s="125"/>
      <c r="H106" s="125"/>
      <c r="I106" s="125"/>
    </row>
    <row r="107" spans="1:9" ht="18" customHeight="1">
      <c r="A107" s="107"/>
      <c r="B107" s="123"/>
      <c r="C107" s="123"/>
      <c r="D107" s="123"/>
      <c r="E107" s="123"/>
      <c r="F107" s="125"/>
      <c r="G107" s="125"/>
      <c r="H107" s="125"/>
      <c r="I107" s="125"/>
    </row>
    <row r="108" spans="1:9" ht="15.75" customHeight="1">
      <c r="A108" s="107"/>
      <c r="B108" s="123"/>
      <c r="C108" s="123"/>
      <c r="D108" s="123"/>
      <c r="E108" s="123"/>
      <c r="F108" s="125"/>
      <c r="G108" s="125"/>
      <c r="H108" s="125"/>
      <c r="I108" s="125"/>
    </row>
    <row r="109" spans="1:9" ht="15" customHeight="1">
      <c r="A109" s="107"/>
      <c r="B109" s="123"/>
      <c r="C109" s="123"/>
      <c r="D109" s="123"/>
      <c r="E109" s="123"/>
      <c r="F109" s="125"/>
      <c r="G109" s="125"/>
      <c r="H109" s="125"/>
      <c r="I109" s="125"/>
    </row>
    <row r="110" spans="1:9" ht="18" customHeight="1">
      <c r="A110" s="107"/>
      <c r="B110" s="123"/>
      <c r="C110" s="123"/>
      <c r="D110" s="123"/>
      <c r="E110" s="123"/>
      <c r="F110" s="125"/>
      <c r="G110" s="125"/>
      <c r="H110" s="125"/>
      <c r="I110" s="125"/>
    </row>
    <row r="111" spans="1:9" ht="18" customHeight="1">
      <c r="A111" s="107"/>
      <c r="B111" s="123"/>
      <c r="C111" s="123"/>
      <c r="D111" s="123"/>
      <c r="E111" s="123"/>
      <c r="F111" s="125"/>
      <c r="G111" s="125"/>
      <c r="H111" s="125"/>
      <c r="I111" s="125"/>
    </row>
    <row r="112" spans="1:9" ht="20.25" customHeight="1">
      <c r="A112" s="107"/>
      <c r="B112" s="123"/>
      <c r="C112" s="123"/>
      <c r="D112" s="123"/>
      <c r="E112" s="123"/>
      <c r="F112" s="125"/>
      <c r="G112" s="125"/>
      <c r="H112" s="125"/>
      <c r="I112" s="125"/>
    </row>
    <row r="113" spans="1:9" ht="18" customHeight="1">
      <c r="A113" s="107"/>
      <c r="B113" s="123"/>
      <c r="C113" s="123"/>
      <c r="D113" s="123"/>
      <c r="E113" s="123"/>
      <c r="F113" s="125"/>
      <c r="G113" s="125"/>
      <c r="H113" s="125"/>
      <c r="I113" s="125"/>
    </row>
    <row r="114" spans="1:9" ht="18" customHeight="1">
      <c r="A114" s="107"/>
      <c r="B114" s="123"/>
      <c r="C114" s="123"/>
      <c r="D114" s="123"/>
      <c r="E114" s="123"/>
      <c r="F114" s="125"/>
      <c r="G114" s="125"/>
      <c r="H114" s="125"/>
      <c r="I114" s="125"/>
    </row>
    <row r="115" spans="1:9" ht="18" customHeight="1">
      <c r="A115" s="107"/>
      <c r="B115" s="123"/>
      <c r="C115" s="123"/>
      <c r="D115" s="123"/>
      <c r="E115" s="123"/>
      <c r="F115" s="125"/>
      <c r="G115" s="125"/>
      <c r="H115" s="125"/>
      <c r="I115" s="125"/>
    </row>
    <row r="116" spans="1:9" ht="18" customHeight="1">
      <c r="A116" s="107"/>
      <c r="B116" s="123"/>
      <c r="C116" s="123"/>
      <c r="D116" s="123"/>
      <c r="E116" s="123"/>
      <c r="F116" s="125"/>
      <c r="G116" s="125"/>
      <c r="H116" s="125"/>
      <c r="I116" s="125"/>
    </row>
    <row r="117" spans="1:9" ht="15.75" customHeight="1">
      <c r="A117" s="107"/>
      <c r="B117" s="123"/>
      <c r="C117" s="123"/>
      <c r="D117" s="123"/>
      <c r="E117" s="123"/>
      <c r="F117" s="125"/>
      <c r="G117" s="125"/>
      <c r="H117" s="125"/>
      <c r="I117" s="125"/>
    </row>
    <row r="118" spans="1:9" ht="18" customHeight="1">
      <c r="A118" s="107"/>
      <c r="B118" s="123"/>
      <c r="C118" s="123"/>
      <c r="D118" s="123"/>
      <c r="E118" s="123"/>
      <c r="F118" s="125"/>
      <c r="G118" s="125"/>
      <c r="H118" s="125"/>
      <c r="I118" s="125"/>
    </row>
    <row r="119" spans="1:9" ht="18" customHeight="1">
      <c r="A119" s="107"/>
      <c r="B119" s="123"/>
      <c r="C119" s="123"/>
      <c r="D119" s="123"/>
      <c r="E119" s="123"/>
      <c r="F119" s="125"/>
      <c r="G119" s="125"/>
      <c r="H119" s="125"/>
      <c r="I119" s="125"/>
    </row>
    <row r="120" spans="1:9" ht="18" customHeight="1">
      <c r="A120" s="107"/>
      <c r="B120" s="123"/>
      <c r="C120" s="123"/>
      <c r="D120" s="123"/>
      <c r="E120" s="123"/>
      <c r="F120" s="125"/>
      <c r="G120" s="125"/>
      <c r="H120" s="125"/>
      <c r="I120" s="125"/>
    </row>
    <row r="121" spans="1:9" ht="18" customHeight="1">
      <c r="A121" s="107"/>
      <c r="B121" s="123"/>
      <c r="C121" s="123"/>
      <c r="D121" s="123"/>
      <c r="E121" s="123"/>
      <c r="F121" s="125"/>
      <c r="G121" s="125"/>
      <c r="H121" s="125"/>
      <c r="I121" s="125"/>
    </row>
    <row r="122" spans="1:9" ht="28.5" customHeight="1">
      <c r="A122" s="107"/>
      <c r="B122" s="107"/>
      <c r="C122" s="107"/>
      <c r="D122" s="107"/>
      <c r="E122" s="107"/>
    </row>
    <row r="123" spans="1:9" ht="23.25" customHeight="1">
      <c r="A123" s="107"/>
      <c r="B123" s="107"/>
      <c r="C123" s="107"/>
      <c r="D123" s="107"/>
      <c r="E123" s="107"/>
    </row>
    <row r="124" spans="1:9" ht="18" customHeight="1">
      <c r="A124" s="107"/>
      <c r="B124" s="107"/>
      <c r="C124" s="107"/>
      <c r="D124" s="107"/>
      <c r="E124" s="107"/>
    </row>
    <row r="125" spans="1:9" ht="17.25" customHeight="1">
      <c r="A125" s="107"/>
      <c r="B125" s="107"/>
      <c r="C125" s="107"/>
      <c r="D125" s="107"/>
      <c r="E125" s="107"/>
    </row>
    <row r="126" spans="1:9" ht="16.5" customHeight="1">
      <c r="A126" s="107"/>
      <c r="B126" s="107"/>
      <c r="C126" s="107"/>
      <c r="D126" s="107"/>
      <c r="E126" s="107"/>
    </row>
    <row r="127" spans="1:9" ht="18" customHeight="1">
      <c r="A127" s="107"/>
      <c r="B127" s="107"/>
      <c r="C127" s="107"/>
      <c r="D127" s="107"/>
      <c r="E127" s="107"/>
    </row>
    <row r="128" spans="1:9" ht="18" customHeight="1">
      <c r="A128" s="107"/>
      <c r="B128" s="107"/>
      <c r="C128" s="107"/>
      <c r="D128" s="107"/>
      <c r="E128" s="107"/>
    </row>
    <row r="129" spans="1:6" ht="7.5" customHeight="1">
      <c r="A129" s="107"/>
      <c r="B129" s="107"/>
      <c r="C129" s="107"/>
      <c r="D129" s="107"/>
      <c r="E129" s="107"/>
    </row>
    <row r="130" spans="1:6" ht="27" customHeight="1">
      <c r="A130" s="107"/>
      <c r="B130" s="107"/>
      <c r="C130" s="107"/>
      <c r="D130" s="107"/>
      <c r="E130" s="107"/>
      <c r="F130" s="126"/>
    </row>
    <row r="131" spans="1:6" ht="12.75">
      <c r="A131" s="107"/>
      <c r="B131" s="107"/>
      <c r="C131" s="107"/>
      <c r="D131" s="107"/>
      <c r="E131" s="107"/>
    </row>
    <row r="132" spans="1:6" ht="12.75">
      <c r="A132" s="107"/>
      <c r="B132" s="107"/>
      <c r="C132" s="107"/>
      <c r="D132" s="107"/>
      <c r="E132" s="107"/>
    </row>
    <row r="133" spans="1:6" ht="29.25" customHeight="1">
      <c r="A133" s="107"/>
      <c r="B133" s="107"/>
      <c r="C133" s="107"/>
      <c r="D133" s="107"/>
      <c r="E133" s="107"/>
    </row>
    <row r="134" spans="1:6" ht="33" customHeight="1">
      <c r="A134" s="107"/>
      <c r="B134" s="107"/>
      <c r="C134" s="107"/>
      <c r="D134" s="107"/>
      <c r="E134" s="107"/>
    </row>
    <row r="135" spans="1:6" ht="18" customHeight="1">
      <c r="A135" s="107"/>
      <c r="B135" s="107"/>
      <c r="C135" s="107"/>
      <c r="D135" s="107"/>
      <c r="E135" s="107"/>
    </row>
    <row r="136" spans="1:6" ht="26.25" customHeight="1">
      <c r="A136" s="107"/>
      <c r="B136" s="107"/>
      <c r="C136" s="107"/>
      <c r="D136" s="107"/>
      <c r="E136" s="107"/>
    </row>
    <row r="137" spans="1:6" ht="24.75" customHeight="1">
      <c r="A137" s="107"/>
      <c r="B137" s="107"/>
      <c r="C137" s="107"/>
      <c r="D137" s="107"/>
      <c r="E137" s="107"/>
    </row>
    <row r="138" spans="1:6" ht="18" customHeight="1">
      <c r="A138" s="107"/>
      <c r="B138" s="107"/>
      <c r="C138" s="107"/>
      <c r="D138" s="107"/>
      <c r="E138" s="107"/>
    </row>
    <row r="139" spans="1:6" ht="18" customHeight="1">
      <c r="A139" s="107"/>
      <c r="B139" s="107"/>
      <c r="C139" s="107"/>
      <c r="D139" s="107"/>
      <c r="E139" s="107"/>
    </row>
    <row r="140" spans="1:6" ht="18" customHeight="1">
      <c r="A140" s="107"/>
      <c r="B140" s="107"/>
      <c r="C140" s="107"/>
      <c r="D140" s="107"/>
      <c r="E140" s="107"/>
    </row>
    <row r="141" spans="1:6" ht="18" customHeight="1">
      <c r="A141" s="107"/>
      <c r="B141" s="107"/>
      <c r="C141" s="107"/>
      <c r="D141" s="107"/>
      <c r="E141" s="107"/>
    </row>
    <row r="142" spans="1:6" ht="18" customHeight="1">
      <c r="A142" s="107"/>
      <c r="B142" s="107"/>
      <c r="C142" s="107"/>
      <c r="D142" s="107"/>
      <c r="E142" s="107"/>
    </row>
    <row r="143" spans="1:6" ht="27" customHeight="1">
      <c r="A143" s="107"/>
      <c r="B143" s="107"/>
      <c r="C143" s="107"/>
      <c r="D143" s="107"/>
      <c r="E143" s="107"/>
    </row>
    <row r="144" spans="1:6" ht="30.75" customHeight="1">
      <c r="A144" s="107"/>
      <c r="B144" s="107"/>
      <c r="C144" s="107"/>
      <c r="D144" s="107"/>
      <c r="E144" s="107"/>
    </row>
    <row r="145" spans="1:5" ht="14.25" customHeight="1">
      <c r="A145" s="107"/>
      <c r="B145" s="107"/>
      <c r="C145" s="107"/>
      <c r="D145" s="107"/>
      <c r="E145" s="107"/>
    </row>
    <row r="146" spans="1:5" ht="13.5" customHeight="1">
      <c r="A146" s="107"/>
      <c r="B146" s="107"/>
      <c r="C146" s="107"/>
      <c r="D146" s="107"/>
      <c r="E146" s="107"/>
    </row>
    <row r="147" spans="1:5" ht="13.5" customHeight="1">
      <c r="A147" s="107"/>
      <c r="B147" s="107"/>
      <c r="C147" s="107"/>
      <c r="D147" s="107"/>
      <c r="E147" s="107"/>
    </row>
    <row r="148" spans="1:5" ht="12.75" customHeight="1">
      <c r="A148" s="107"/>
      <c r="B148" s="107"/>
      <c r="C148" s="107"/>
      <c r="D148" s="107"/>
      <c r="E148" s="107"/>
    </row>
    <row r="149" spans="1:5" ht="15" customHeight="1">
      <c r="A149" s="107"/>
      <c r="B149" s="107"/>
      <c r="C149" s="107"/>
      <c r="D149" s="107"/>
      <c r="E149" s="107"/>
    </row>
    <row r="150" spans="1:5" ht="12" customHeight="1">
      <c r="A150" s="107"/>
      <c r="B150" s="107"/>
      <c r="C150" s="107"/>
      <c r="D150" s="107"/>
      <c r="E150" s="107"/>
    </row>
    <row r="151" spans="1:5" ht="12" customHeight="1">
      <c r="A151" s="107"/>
      <c r="B151" s="107"/>
      <c r="C151" s="107"/>
      <c r="D151" s="107"/>
      <c r="E151" s="107"/>
    </row>
    <row r="152" spans="1:5" ht="14.25" customHeight="1">
      <c r="A152" s="107"/>
      <c r="B152" s="107"/>
      <c r="C152" s="107"/>
      <c r="D152" s="107"/>
      <c r="E152" s="107"/>
    </row>
    <row r="153" spans="1:5" ht="13.5" customHeight="1">
      <c r="A153" s="107"/>
      <c r="B153" s="107"/>
      <c r="C153" s="107"/>
      <c r="D153" s="107"/>
      <c r="E153" s="107"/>
    </row>
    <row r="154" spans="1:5" ht="15.75" customHeight="1">
      <c r="A154" s="107"/>
      <c r="B154" s="107"/>
      <c r="C154" s="107"/>
      <c r="D154" s="107"/>
      <c r="E154" s="107"/>
    </row>
    <row r="155" spans="1:5" ht="13.5" customHeight="1">
      <c r="A155" s="107"/>
      <c r="B155" s="107"/>
      <c r="C155" s="107"/>
      <c r="D155" s="107"/>
      <c r="E155" s="107"/>
    </row>
    <row r="156" spans="1:5" ht="13.5" customHeight="1">
      <c r="A156" s="107"/>
      <c r="B156" s="107"/>
      <c r="C156" s="107"/>
      <c r="D156" s="107"/>
      <c r="E156" s="107"/>
    </row>
    <row r="157" spans="1:5" ht="18" customHeight="1">
      <c r="A157" s="107"/>
      <c r="B157" s="107"/>
      <c r="C157" s="107"/>
      <c r="D157" s="107"/>
      <c r="E157" s="107"/>
    </row>
    <row r="158" spans="1:5" ht="18" customHeight="1">
      <c r="A158" s="107"/>
      <c r="B158" s="107"/>
      <c r="C158" s="107"/>
      <c r="D158" s="107"/>
      <c r="E158" s="107"/>
    </row>
    <row r="159" spans="1:5" ht="18" customHeight="1">
      <c r="A159" s="107"/>
      <c r="B159" s="107"/>
      <c r="C159" s="107"/>
      <c r="D159" s="107"/>
      <c r="E159" s="107"/>
    </row>
    <row r="160" spans="1:5" ht="18" customHeight="1">
      <c r="B160" s="107"/>
      <c r="C160" s="107"/>
      <c r="D160" s="107"/>
      <c r="E160" s="107"/>
    </row>
    <row r="161" spans="2:5" ht="18" customHeight="1">
      <c r="B161" s="127"/>
      <c r="C161" s="127"/>
      <c r="D161" s="127"/>
      <c r="E161" s="127"/>
    </row>
    <row r="162" spans="2:5" ht="18" customHeight="1">
      <c r="B162" s="127"/>
      <c r="C162" s="127"/>
      <c r="D162" s="127"/>
      <c r="E162" s="127"/>
    </row>
    <row r="163" spans="2:5" ht="18" customHeight="1">
      <c r="B163" s="127"/>
      <c r="C163" s="127"/>
      <c r="D163" s="127"/>
      <c r="E163" s="127"/>
    </row>
    <row r="164" spans="2:5" ht="18" customHeight="1">
      <c r="B164" s="127"/>
      <c r="C164" s="127"/>
      <c r="D164" s="127"/>
      <c r="E164" s="127"/>
    </row>
    <row r="165" spans="2:5" ht="18" customHeight="1">
      <c r="B165" s="127"/>
      <c r="C165" s="127"/>
      <c r="D165" s="127"/>
      <c r="E165" s="127"/>
    </row>
    <row r="166" spans="2:5" ht="18" customHeight="1">
      <c r="B166" s="127"/>
      <c r="C166" s="127"/>
      <c r="D166" s="127"/>
      <c r="E166" s="127"/>
    </row>
    <row r="167" spans="2:5" ht="18" customHeight="1">
      <c r="B167" s="127"/>
      <c r="C167" s="127"/>
      <c r="D167" s="127"/>
      <c r="E167" s="127"/>
    </row>
    <row r="168" spans="2:5" ht="18" customHeight="1">
      <c r="B168" s="127"/>
      <c r="C168" s="127"/>
      <c r="D168" s="127"/>
      <c r="E168" s="127"/>
    </row>
    <row r="169" spans="2:5" ht="18" customHeight="1">
      <c r="B169" s="127"/>
      <c r="C169" s="127"/>
      <c r="D169" s="127"/>
      <c r="E169" s="127"/>
    </row>
  </sheetData>
  <mergeCells count="8">
    <mergeCell ref="A104:I104"/>
    <mergeCell ref="H55:I55"/>
    <mergeCell ref="A1:I1"/>
    <mergeCell ref="A3:A4"/>
    <mergeCell ref="B3:E4"/>
    <mergeCell ref="F3:I4"/>
    <mergeCell ref="E2:I2"/>
    <mergeCell ref="A54:I54"/>
  </mergeCells>
  <phoneticPr fontId="2" type="noConversion"/>
  <printOptions horizontalCentered="1" verticalCentered="1"/>
  <pageMargins left="0.196850393700787" right="0.196850393700787" top="0.196850393700787" bottom="0.39370078740157499" header="0" footer="0"/>
  <pageSetup paperSize="9" scale="75" orientation="portrait" horizontalDpi="120" verticalDpi="14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</sheetPr>
  <dimension ref="A1:O49"/>
  <sheetViews>
    <sheetView workbookViewId="0">
      <selection activeCell="C29" sqref="C29:J29"/>
    </sheetView>
  </sheetViews>
  <sheetFormatPr defaultRowHeight="12.75"/>
  <cols>
    <col min="1" max="1" width="21.5703125" style="107" customWidth="1"/>
    <col min="2" max="2" width="7.7109375" style="142" customWidth="1"/>
    <col min="3" max="3" width="8" style="142" customWidth="1"/>
    <col min="4" max="4" width="7.140625" style="107" customWidth="1"/>
    <col min="5" max="5" width="7.5703125" style="107" customWidth="1"/>
    <col min="6" max="7" width="6.7109375" style="107" customWidth="1"/>
    <col min="8" max="8" width="9.85546875" style="107" customWidth="1"/>
    <col min="9" max="9" width="8.28515625" style="107" customWidth="1"/>
    <col min="10" max="10" width="9.140625" style="107" customWidth="1"/>
    <col min="11" max="11" width="8.5703125" style="107" customWidth="1"/>
    <col min="12" max="13" width="7.85546875" style="107" customWidth="1"/>
    <col min="14" max="14" width="9.140625" style="107" customWidth="1"/>
    <col min="15" max="15" width="8.42578125" style="107" customWidth="1"/>
    <col min="16" max="16384" width="9.140625" style="107"/>
  </cols>
  <sheetData>
    <row r="1" spans="1:15" ht="24.75" customHeight="1">
      <c r="A1" s="1490" t="s">
        <v>1212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  <c r="O1" s="1490"/>
    </row>
    <row r="2" spans="1:15">
      <c r="A2" s="96"/>
      <c r="B2" s="211"/>
      <c r="N2" s="119"/>
    </row>
    <row r="3" spans="1:15" ht="27" customHeight="1">
      <c r="A3" s="1483"/>
      <c r="B3" s="1485" t="s">
        <v>670</v>
      </c>
      <c r="C3" s="1485" t="s">
        <v>671</v>
      </c>
      <c r="D3" s="1485" t="s">
        <v>672</v>
      </c>
      <c r="E3" s="1487" t="s">
        <v>600</v>
      </c>
      <c r="F3" s="1480" t="s">
        <v>673</v>
      </c>
      <c r="G3" s="1481"/>
      <c r="H3" s="1482"/>
      <c r="I3" s="1485" t="s">
        <v>670</v>
      </c>
      <c r="J3" s="1485" t="s">
        <v>671</v>
      </c>
      <c r="K3" s="1485" t="s">
        <v>672</v>
      </c>
      <c r="L3" s="1487" t="s">
        <v>600</v>
      </c>
      <c r="M3" s="1480" t="s">
        <v>673</v>
      </c>
      <c r="N3" s="1481"/>
      <c r="O3" s="1482"/>
    </row>
    <row r="4" spans="1:15" ht="63.75" customHeight="1">
      <c r="A4" s="1484"/>
      <c r="B4" s="1486"/>
      <c r="C4" s="1486"/>
      <c r="D4" s="1486"/>
      <c r="E4" s="1488"/>
      <c r="F4" s="109" t="s">
        <v>674</v>
      </c>
      <c r="G4" s="109" t="s">
        <v>675</v>
      </c>
      <c r="H4" s="109" t="s">
        <v>676</v>
      </c>
      <c r="I4" s="1486"/>
      <c r="J4" s="1486"/>
      <c r="K4" s="1486"/>
      <c r="L4" s="1488"/>
      <c r="M4" s="109" t="s">
        <v>674</v>
      </c>
      <c r="N4" s="109" t="s">
        <v>675</v>
      </c>
      <c r="O4" s="109" t="s">
        <v>676</v>
      </c>
    </row>
    <row r="5" spans="1:15" ht="14.25" customHeight="1">
      <c r="A5" s="146" t="s">
        <v>8</v>
      </c>
      <c r="B5" s="146">
        <v>1</v>
      </c>
      <c r="C5" s="146">
        <v>2</v>
      </c>
      <c r="D5" s="146">
        <v>3</v>
      </c>
      <c r="E5" s="146">
        <v>4</v>
      </c>
      <c r="F5" s="146">
        <v>5</v>
      </c>
      <c r="G5" s="146">
        <v>6</v>
      </c>
      <c r="H5" s="146">
        <v>7</v>
      </c>
      <c r="I5" s="146">
        <v>1</v>
      </c>
      <c r="J5" s="146">
        <v>2</v>
      </c>
      <c r="K5" s="146">
        <v>3</v>
      </c>
      <c r="L5" s="146">
        <v>4</v>
      </c>
      <c r="M5" s="146">
        <v>5</v>
      </c>
      <c r="N5" s="146">
        <v>6</v>
      </c>
      <c r="O5" s="146">
        <v>7</v>
      </c>
    </row>
    <row r="6" spans="1:15" ht="24.75" customHeight="1">
      <c r="A6" s="106" t="s">
        <v>167</v>
      </c>
      <c r="B6" s="147">
        <v>6250.81</v>
      </c>
      <c r="C6" s="147">
        <v>799.99</v>
      </c>
      <c r="D6" s="147"/>
      <c r="E6" s="145">
        <v>5450.82</v>
      </c>
      <c r="F6" s="145">
        <v>1387.32</v>
      </c>
      <c r="G6" s="216">
        <v>39.1</v>
      </c>
      <c r="H6" s="145">
        <v>4024.4</v>
      </c>
      <c r="I6" s="145">
        <v>21018.2</v>
      </c>
      <c r="J6" s="145">
        <v>7490.15</v>
      </c>
      <c r="K6" s="145">
        <v>9356.52</v>
      </c>
      <c r="L6" s="145">
        <v>22884.57</v>
      </c>
      <c r="M6" s="147">
        <v>9817.36</v>
      </c>
      <c r="N6" s="147"/>
      <c r="O6" s="146">
        <v>13067.21</v>
      </c>
    </row>
    <row r="7" spans="1:15" ht="21.75" customHeight="1">
      <c r="A7" s="106" t="s">
        <v>168</v>
      </c>
      <c r="B7" s="145">
        <v>31990.400000000001</v>
      </c>
      <c r="C7" s="145">
        <v>31990.400000000001</v>
      </c>
      <c r="D7" s="145"/>
      <c r="E7" s="145"/>
      <c r="F7" s="145"/>
      <c r="G7" s="216"/>
      <c r="H7" s="145"/>
      <c r="I7" s="145">
        <v>142394.92000000001</v>
      </c>
      <c r="J7" s="145">
        <v>132859.12</v>
      </c>
      <c r="K7" s="145">
        <v>36667.54</v>
      </c>
      <c r="L7" s="145">
        <v>46203.34</v>
      </c>
      <c r="M7" s="147">
        <v>41405.339999999997</v>
      </c>
      <c r="N7" s="147">
        <v>1800</v>
      </c>
      <c r="O7" s="146">
        <v>2998</v>
      </c>
    </row>
    <row r="8" spans="1:15" ht="21.75" customHeight="1">
      <c r="A8" s="106" t="s">
        <v>169</v>
      </c>
      <c r="B8" s="145">
        <v>6279.7</v>
      </c>
      <c r="C8" s="145">
        <v>6279.7</v>
      </c>
      <c r="D8" s="145"/>
      <c r="E8" s="145"/>
      <c r="F8" s="145"/>
      <c r="G8" s="216"/>
      <c r="H8" s="145"/>
      <c r="I8" s="145">
        <v>3266.82</v>
      </c>
      <c r="J8" s="145">
        <v>3266.82</v>
      </c>
      <c r="K8" s="145">
        <v>1000</v>
      </c>
      <c r="L8" s="145">
        <v>1000</v>
      </c>
      <c r="M8" s="147">
        <v>1000</v>
      </c>
      <c r="N8" s="147"/>
      <c r="O8" s="146"/>
    </row>
    <row r="9" spans="1:15" ht="21.75" customHeight="1">
      <c r="A9" s="106" t="s">
        <v>270</v>
      </c>
      <c r="B9" s="145"/>
      <c r="C9" s="145"/>
      <c r="D9" s="145"/>
      <c r="E9" s="145"/>
      <c r="F9" s="145"/>
      <c r="G9" s="216"/>
      <c r="H9" s="145"/>
      <c r="I9" s="145">
        <v>1077.42</v>
      </c>
      <c r="J9" s="145">
        <v>999.52</v>
      </c>
      <c r="K9" s="145"/>
      <c r="L9" s="145">
        <v>77.900000000000006</v>
      </c>
      <c r="M9" s="147">
        <v>77.900000000000006</v>
      </c>
      <c r="N9" s="147"/>
      <c r="O9" s="146"/>
    </row>
    <row r="10" spans="1:15" ht="21.75" customHeight="1">
      <c r="A10" s="106" t="s">
        <v>170</v>
      </c>
      <c r="B10" s="145"/>
      <c r="C10" s="145"/>
      <c r="D10" s="145"/>
      <c r="E10" s="145"/>
      <c r="F10" s="145"/>
      <c r="G10" s="216"/>
      <c r="H10" s="145"/>
      <c r="I10" s="145"/>
      <c r="J10" s="145"/>
      <c r="K10" s="145"/>
      <c r="L10" s="145"/>
      <c r="M10" s="147"/>
      <c r="N10" s="147"/>
      <c r="O10" s="146"/>
    </row>
    <row r="11" spans="1:15" ht="21.75" customHeight="1">
      <c r="A11" s="106" t="s">
        <v>336</v>
      </c>
      <c r="B11" s="145"/>
      <c r="C11" s="145"/>
      <c r="D11" s="145"/>
      <c r="E11" s="145"/>
      <c r="F11" s="145"/>
      <c r="G11" s="216"/>
      <c r="H11" s="145"/>
      <c r="I11" s="145">
        <v>4570.6000000000004</v>
      </c>
      <c r="J11" s="145">
        <v>4570.6000000000004</v>
      </c>
      <c r="K11" s="145">
        <v>100</v>
      </c>
      <c r="L11" s="145">
        <v>100</v>
      </c>
      <c r="M11" s="147">
        <v>100</v>
      </c>
      <c r="N11" s="147"/>
      <c r="O11" s="146"/>
    </row>
    <row r="12" spans="1:15" ht="21.75" customHeight="1">
      <c r="A12" s="106" t="s">
        <v>337</v>
      </c>
      <c r="B12" s="145"/>
      <c r="C12" s="145"/>
      <c r="D12" s="145"/>
      <c r="E12" s="145"/>
      <c r="F12" s="145"/>
      <c r="G12" s="216"/>
      <c r="H12" s="145"/>
      <c r="I12" s="145">
        <v>31133.13</v>
      </c>
      <c r="J12" s="145">
        <v>24730.15</v>
      </c>
      <c r="K12" s="145">
        <v>10069.27</v>
      </c>
      <c r="L12" s="145">
        <v>16472.25</v>
      </c>
      <c r="M12" s="147">
        <v>11674.25</v>
      </c>
      <c r="N12" s="147">
        <v>1800</v>
      </c>
      <c r="O12" s="146">
        <v>2998</v>
      </c>
    </row>
    <row r="13" spans="1:15" ht="21.75" customHeight="1">
      <c r="A13" s="106" t="s">
        <v>171</v>
      </c>
      <c r="B13" s="145">
        <v>266.8</v>
      </c>
      <c r="C13" s="145">
        <v>266.8</v>
      </c>
      <c r="D13" s="145"/>
      <c r="E13" s="145"/>
      <c r="F13" s="145"/>
      <c r="G13" s="216"/>
      <c r="H13" s="145"/>
      <c r="I13" s="145">
        <v>7992.22</v>
      </c>
      <c r="J13" s="145">
        <v>6599.5</v>
      </c>
      <c r="K13" s="145">
        <v>1179.0999999999999</v>
      </c>
      <c r="L13" s="145">
        <v>2571.8200000000002</v>
      </c>
      <c r="M13" s="147">
        <v>2571.8200000000002</v>
      </c>
      <c r="N13" s="147"/>
      <c r="O13" s="101"/>
    </row>
    <row r="14" spans="1:15" ht="21.75" customHeight="1">
      <c r="A14" s="106" t="s">
        <v>339</v>
      </c>
      <c r="B14" s="145"/>
      <c r="C14" s="145"/>
      <c r="D14" s="145"/>
      <c r="E14" s="145"/>
      <c r="F14" s="145"/>
      <c r="G14" s="216"/>
      <c r="H14" s="145"/>
      <c r="I14" s="145">
        <v>232.1</v>
      </c>
      <c r="J14" s="145">
        <v>107.1</v>
      </c>
      <c r="K14" s="145"/>
      <c r="L14" s="145">
        <v>125</v>
      </c>
      <c r="M14" s="147">
        <v>125</v>
      </c>
      <c r="N14" s="147"/>
      <c r="O14" s="101"/>
    </row>
    <row r="15" spans="1:15" ht="21.75" customHeight="1">
      <c r="A15" s="106" t="s">
        <v>172</v>
      </c>
      <c r="B15" s="145"/>
      <c r="C15" s="145"/>
      <c r="D15" s="145"/>
      <c r="E15" s="145"/>
      <c r="F15" s="145"/>
      <c r="G15" s="216"/>
      <c r="H15" s="145"/>
      <c r="I15" s="145">
        <v>54953.9</v>
      </c>
      <c r="J15" s="145">
        <v>54953.9</v>
      </c>
      <c r="K15" s="145"/>
      <c r="L15" s="145"/>
      <c r="M15" s="147"/>
      <c r="N15" s="147"/>
      <c r="O15" s="101"/>
    </row>
    <row r="16" spans="1:15" ht="21.75" customHeight="1">
      <c r="A16" s="106" t="s">
        <v>173</v>
      </c>
      <c r="B16" s="145">
        <v>2843.5</v>
      </c>
      <c r="C16" s="145">
        <v>2843.5</v>
      </c>
      <c r="D16" s="145"/>
      <c r="E16" s="145"/>
      <c r="F16" s="145"/>
      <c r="G16" s="216"/>
      <c r="H16" s="145"/>
      <c r="I16" s="145">
        <v>1043.3</v>
      </c>
      <c r="J16" s="145">
        <v>833.6</v>
      </c>
      <c r="K16" s="145">
        <v>268</v>
      </c>
      <c r="L16" s="145">
        <v>477.7</v>
      </c>
      <c r="M16" s="147">
        <v>477.7</v>
      </c>
      <c r="N16" s="147"/>
      <c r="O16" s="101"/>
    </row>
    <row r="17" spans="1:15" ht="21.75" customHeight="1">
      <c r="A17" s="106" t="s">
        <v>271</v>
      </c>
      <c r="B17" s="145"/>
      <c r="C17" s="145"/>
      <c r="D17" s="145"/>
      <c r="E17" s="145"/>
      <c r="F17" s="145"/>
      <c r="G17" s="217"/>
      <c r="H17" s="145"/>
      <c r="I17" s="145">
        <v>7888.88</v>
      </c>
      <c r="J17" s="145">
        <v>7544.78</v>
      </c>
      <c r="K17" s="145">
        <v>2889.22</v>
      </c>
      <c r="L17" s="145">
        <v>3233.32</v>
      </c>
      <c r="M17" s="147">
        <v>3233.32</v>
      </c>
      <c r="N17" s="147"/>
      <c r="O17" s="101"/>
    </row>
    <row r="18" spans="1:15" ht="21.75" customHeight="1">
      <c r="A18" s="106" t="s">
        <v>272</v>
      </c>
      <c r="B18" s="145"/>
      <c r="C18" s="145"/>
      <c r="D18" s="145"/>
      <c r="E18" s="145"/>
      <c r="F18" s="145"/>
      <c r="G18" s="216"/>
      <c r="H18" s="145"/>
      <c r="I18" s="145">
        <v>22857.08</v>
      </c>
      <c r="J18" s="145">
        <v>22053.48</v>
      </c>
      <c r="K18" s="145">
        <v>17248.099999999999</v>
      </c>
      <c r="L18" s="145">
        <v>18051.7</v>
      </c>
      <c r="M18" s="147">
        <v>18051.7</v>
      </c>
      <c r="N18" s="147"/>
      <c r="O18" s="101"/>
    </row>
    <row r="19" spans="1:15" ht="21.75" customHeight="1">
      <c r="A19" s="106" t="s">
        <v>343</v>
      </c>
      <c r="B19" s="145">
        <v>1100</v>
      </c>
      <c r="C19" s="145">
        <v>1100</v>
      </c>
      <c r="D19" s="145"/>
      <c r="E19" s="145"/>
      <c r="F19" s="145"/>
      <c r="G19" s="216"/>
      <c r="H19" s="145"/>
      <c r="I19" s="145">
        <v>1810.2</v>
      </c>
      <c r="J19" s="145">
        <v>1810.2</v>
      </c>
      <c r="K19" s="145">
        <v>518</v>
      </c>
      <c r="L19" s="145">
        <v>518</v>
      </c>
      <c r="M19" s="147">
        <v>518</v>
      </c>
      <c r="N19" s="147"/>
      <c r="O19" s="101"/>
    </row>
    <row r="20" spans="1:15" ht="21.75" customHeight="1">
      <c r="A20" s="171" t="s">
        <v>344</v>
      </c>
      <c r="B20" s="204"/>
      <c r="C20" s="204"/>
      <c r="D20" s="204"/>
      <c r="E20" s="204"/>
      <c r="F20" s="204"/>
      <c r="G20" s="218"/>
      <c r="H20" s="145"/>
      <c r="I20" s="204"/>
      <c r="J20" s="204"/>
      <c r="K20" s="204"/>
      <c r="L20" s="204"/>
      <c r="M20" s="165"/>
      <c r="N20" s="165"/>
      <c r="O20" s="101"/>
    </row>
    <row r="21" spans="1:15" ht="21.75" customHeight="1">
      <c r="A21" s="106" t="s">
        <v>345</v>
      </c>
      <c r="B21" s="145">
        <v>21500.400000000001</v>
      </c>
      <c r="C21" s="145">
        <v>21500.400000000001</v>
      </c>
      <c r="D21" s="145"/>
      <c r="E21" s="145"/>
      <c r="F21" s="145"/>
      <c r="G21" s="216"/>
      <c r="H21" s="145"/>
      <c r="I21" s="145">
        <v>5569.7</v>
      </c>
      <c r="J21" s="145">
        <v>5389.47</v>
      </c>
      <c r="K21" s="145">
        <v>3395.85</v>
      </c>
      <c r="L21" s="145">
        <v>3575.65</v>
      </c>
      <c r="M21" s="147">
        <v>3575.65</v>
      </c>
      <c r="N21" s="147"/>
      <c r="O21" s="101"/>
    </row>
    <row r="22" spans="1:15" ht="16.5" customHeight="1">
      <c r="A22" s="119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5" ht="16.5" customHeight="1">
      <c r="A23" s="119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5" ht="19.899999999999999" customHeight="1">
      <c r="A24" s="1489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</row>
    <row r="25" spans="1:15" ht="19.899999999999999" customHeight="1"/>
    <row r="26" spans="1:15" ht="19.899999999999999" customHeight="1"/>
    <row r="29" spans="1:15" ht="16.5" customHeight="1">
      <c r="A29" s="170"/>
      <c r="B29" s="201"/>
      <c r="C29" s="1493"/>
      <c r="D29" s="1493"/>
      <c r="E29" s="1493"/>
      <c r="F29" s="1493"/>
      <c r="G29" s="1493"/>
      <c r="H29" s="1493"/>
      <c r="I29" s="1493"/>
      <c r="J29" s="1493"/>
      <c r="K29" s="170"/>
      <c r="L29" s="170"/>
      <c r="M29" s="170"/>
      <c r="N29" s="170"/>
      <c r="O29" s="170"/>
    </row>
    <row r="30" spans="1:15">
      <c r="A30" s="170"/>
      <c r="B30" s="201"/>
      <c r="C30" s="201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</row>
    <row r="31" spans="1:15" ht="16.5" customHeight="1">
      <c r="A31" s="1491"/>
      <c r="B31" s="1492"/>
      <c r="C31" s="1492"/>
      <c r="D31" s="1492"/>
      <c r="E31" s="1479"/>
      <c r="F31" s="1489"/>
      <c r="G31" s="1489"/>
      <c r="H31" s="1489"/>
      <c r="I31" s="1492"/>
      <c r="J31" s="1492"/>
      <c r="K31" s="1492"/>
      <c r="L31" s="1479"/>
      <c r="M31" s="1489"/>
      <c r="N31" s="1489"/>
      <c r="O31" s="1489"/>
    </row>
    <row r="32" spans="1:15" ht="9" customHeight="1">
      <c r="A32" s="1491"/>
      <c r="B32" s="1492"/>
      <c r="C32" s="1492"/>
      <c r="D32" s="1492"/>
      <c r="E32" s="1479"/>
      <c r="F32" s="143"/>
      <c r="G32" s="143"/>
      <c r="H32" s="143"/>
      <c r="I32" s="1492"/>
      <c r="J32" s="1492"/>
      <c r="K32" s="1492"/>
      <c r="L32" s="1479"/>
      <c r="M32" s="143"/>
      <c r="N32" s="143"/>
      <c r="O32" s="143"/>
    </row>
    <row r="33" spans="1:15" ht="18.75" customHeight="1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</row>
    <row r="34" spans="1:15" ht="21.75" customHeight="1">
      <c r="A34" s="119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70"/>
    </row>
    <row r="35" spans="1:15">
      <c r="A35" s="119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70"/>
    </row>
    <row r="36" spans="1:15">
      <c r="A36" s="119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70"/>
    </row>
    <row r="37" spans="1:15">
      <c r="A37" s="119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70"/>
    </row>
    <row r="38" spans="1:15">
      <c r="A38" s="119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70"/>
    </row>
    <row r="39" spans="1:15">
      <c r="A39" s="119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70"/>
    </row>
    <row r="40" spans="1:15">
      <c r="A40" s="119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70"/>
    </row>
    <row r="41" spans="1:15">
      <c r="A41" s="119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70"/>
    </row>
    <row r="42" spans="1:15">
      <c r="A42" s="119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70"/>
    </row>
    <row r="43" spans="1:15">
      <c r="A43" s="119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70"/>
    </row>
    <row r="44" spans="1:15">
      <c r="A44" s="119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70"/>
    </row>
    <row r="45" spans="1:15">
      <c r="A45" s="119"/>
      <c r="B45" s="166"/>
      <c r="C45" s="166"/>
      <c r="D45" s="166"/>
      <c r="E45" s="166"/>
      <c r="F45" s="166"/>
      <c r="G45" s="175"/>
      <c r="H45" s="166"/>
      <c r="I45" s="166"/>
      <c r="J45" s="166"/>
      <c r="K45" s="166"/>
      <c r="L45" s="166"/>
      <c r="M45" s="166"/>
      <c r="N45" s="166"/>
      <c r="O45" s="170"/>
    </row>
    <row r="46" spans="1:15">
      <c r="A46" s="119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70"/>
    </row>
    <row r="47" spans="1:15">
      <c r="A47" s="119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70"/>
    </row>
    <row r="48" spans="1:15">
      <c r="A48" s="119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70"/>
    </row>
    <row r="49" spans="1:15">
      <c r="A49" s="119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70"/>
    </row>
  </sheetData>
  <mergeCells count="25">
    <mergeCell ref="M31:O31"/>
    <mergeCell ref="A1:O1"/>
    <mergeCell ref="A24:O24"/>
    <mergeCell ref="K3:K4"/>
    <mergeCell ref="A31:A32"/>
    <mergeCell ref="I31:I32"/>
    <mergeCell ref="J31:J32"/>
    <mergeCell ref="K31:K32"/>
    <mergeCell ref="L31:L32"/>
    <mergeCell ref="C29:J29"/>
    <mergeCell ref="B31:B32"/>
    <mergeCell ref="C31:C32"/>
    <mergeCell ref="F31:H31"/>
    <mergeCell ref="L3:L4"/>
    <mergeCell ref="D31:D32"/>
    <mergeCell ref="E31:E32"/>
    <mergeCell ref="M3:O3"/>
    <mergeCell ref="A3:A4"/>
    <mergeCell ref="B3:B4"/>
    <mergeCell ref="C3:C4"/>
    <mergeCell ref="D3:D4"/>
    <mergeCell ref="E3:E4"/>
    <mergeCell ref="F3:H3"/>
    <mergeCell ref="I3:I4"/>
    <mergeCell ref="J3:J4"/>
  </mergeCells>
  <phoneticPr fontId="2" type="noConversion"/>
  <pageMargins left="0.62" right="0.19" top="0.47" bottom="0.37" header="0.28999999999999998" footer="0.3"/>
  <pageSetup paperSize="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61"/>
  <sheetViews>
    <sheetView workbookViewId="0">
      <selection activeCell="E29" sqref="E29"/>
    </sheetView>
  </sheetViews>
  <sheetFormatPr defaultRowHeight="12.75"/>
  <cols>
    <col min="1" max="1" width="3.5703125" style="279" customWidth="1"/>
    <col min="2" max="2" width="14" style="279" customWidth="1"/>
    <col min="3" max="15" width="7.42578125" style="279" customWidth="1"/>
    <col min="16" max="17" width="9.140625" style="279" customWidth="1"/>
    <col min="18" max="16384" width="9.140625" style="279"/>
  </cols>
  <sheetData>
    <row r="1" spans="1:19">
      <c r="A1" s="1502" t="s">
        <v>689</v>
      </c>
      <c r="B1" s="1502"/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502"/>
    </row>
    <row r="2" spans="1:19">
      <c r="A2" s="1501" t="s">
        <v>68</v>
      </c>
      <c r="B2" s="1501"/>
      <c r="C2" s="1501"/>
      <c r="D2" s="1501"/>
      <c r="E2" s="1501"/>
      <c r="F2" s="1501"/>
      <c r="G2" s="1501"/>
      <c r="H2" s="1501"/>
      <c r="I2" s="1501"/>
      <c r="J2" s="1501"/>
      <c r="K2" s="1501"/>
      <c r="L2" s="1501"/>
      <c r="M2" s="1501"/>
      <c r="N2" s="1501"/>
      <c r="O2" s="1501"/>
      <c r="P2" s="1501"/>
      <c r="Q2" s="1501"/>
    </row>
    <row r="3" spans="1:19">
      <c r="A3" s="1503"/>
      <c r="B3" s="1503"/>
      <c r="C3" s="1503"/>
      <c r="D3" s="1503"/>
      <c r="E3" s="1503"/>
      <c r="F3" s="280"/>
      <c r="G3" s="280"/>
      <c r="H3" s="280"/>
      <c r="I3" s="280"/>
      <c r="J3" s="280"/>
      <c r="K3" s="280"/>
      <c r="L3" s="280"/>
      <c r="M3" s="280"/>
      <c r="N3" s="280"/>
      <c r="O3" s="280"/>
    </row>
    <row r="4" spans="1:19">
      <c r="A4" s="1504"/>
      <c r="B4" s="1504"/>
      <c r="C4" s="1494" t="s">
        <v>69</v>
      </c>
      <c r="D4" s="1495"/>
      <c r="E4" s="1495"/>
      <c r="F4" s="1495"/>
      <c r="G4" s="1495"/>
      <c r="H4" s="1495"/>
      <c r="I4" s="1495"/>
      <c r="J4" s="1495"/>
      <c r="K4" s="1495"/>
      <c r="L4" s="1495"/>
      <c r="M4" s="1495"/>
      <c r="N4" s="1495"/>
      <c r="O4" s="1496"/>
      <c r="P4" s="1505" t="s">
        <v>70</v>
      </c>
      <c r="Q4" s="1505"/>
    </row>
    <row r="5" spans="1:19">
      <c r="A5" s="1504"/>
      <c r="B5" s="1504"/>
      <c r="C5" s="1497"/>
      <c r="D5" s="1498"/>
      <c r="E5" s="1498"/>
      <c r="F5" s="1498"/>
      <c r="G5" s="1498"/>
      <c r="H5" s="1498"/>
      <c r="I5" s="1498"/>
      <c r="J5" s="1498"/>
      <c r="K5" s="1498"/>
      <c r="L5" s="1498"/>
      <c r="M5" s="1498"/>
      <c r="N5" s="1498"/>
      <c r="O5" s="1499"/>
      <c r="P5" s="1505"/>
      <c r="Q5" s="1505"/>
    </row>
    <row r="6" spans="1:19" ht="25.5">
      <c r="A6" s="1504"/>
      <c r="B6" s="1504"/>
      <c r="C6" s="282">
        <v>2000</v>
      </c>
      <c r="D6" s="282">
        <v>2001</v>
      </c>
      <c r="E6" s="282">
        <v>2002</v>
      </c>
      <c r="F6" s="282">
        <v>2003</v>
      </c>
      <c r="G6" s="282">
        <v>2004</v>
      </c>
      <c r="H6" s="282">
        <v>2005</v>
      </c>
      <c r="I6" s="282">
        <v>2006</v>
      </c>
      <c r="J6" s="282">
        <v>2007</v>
      </c>
      <c r="K6" s="283">
        <v>2008</v>
      </c>
      <c r="L6" s="283">
        <v>2009</v>
      </c>
      <c r="M6" s="283">
        <v>2010</v>
      </c>
      <c r="N6" s="283">
        <v>2011</v>
      </c>
      <c r="O6" s="283">
        <v>2012</v>
      </c>
      <c r="P6" s="284" t="s">
        <v>1545</v>
      </c>
      <c r="Q6" s="285" t="s">
        <v>1546</v>
      </c>
    </row>
    <row r="7" spans="1:19" ht="27" customHeight="1">
      <c r="A7" s="380">
        <v>1</v>
      </c>
      <c r="B7" s="362" t="s">
        <v>280</v>
      </c>
      <c r="C7" s="362">
        <v>600</v>
      </c>
      <c r="D7" s="362">
        <v>567</v>
      </c>
      <c r="E7" s="362">
        <v>541</v>
      </c>
      <c r="F7" s="362">
        <v>550</v>
      </c>
      <c r="G7" s="362">
        <v>531</v>
      </c>
      <c r="H7" s="362">
        <v>482</v>
      </c>
      <c r="I7" s="362">
        <v>514</v>
      </c>
      <c r="J7" s="365">
        <v>504</v>
      </c>
      <c r="K7" s="365">
        <v>503</v>
      </c>
      <c r="L7" s="365">
        <v>503</v>
      </c>
      <c r="M7" s="365">
        <v>507</v>
      </c>
      <c r="N7" s="365">
        <v>487</v>
      </c>
      <c r="O7" s="365">
        <v>458</v>
      </c>
      <c r="P7" s="375">
        <f>SUM(O7/C7)*100</f>
        <v>76.333333333333329</v>
      </c>
      <c r="Q7" s="375">
        <f>SUM(O7/N7)*100</f>
        <v>94.045174537987677</v>
      </c>
      <c r="R7" s="287"/>
      <c r="S7" s="287"/>
    </row>
    <row r="8" spans="1:19" ht="27" customHeight="1">
      <c r="A8" s="282">
        <v>2</v>
      </c>
      <c r="B8" s="365" t="s">
        <v>281</v>
      </c>
      <c r="C8" s="365">
        <v>417</v>
      </c>
      <c r="D8" s="365">
        <v>435</v>
      </c>
      <c r="E8" s="365">
        <v>413</v>
      </c>
      <c r="F8" s="365">
        <v>324</v>
      </c>
      <c r="G8" s="365">
        <v>379</v>
      </c>
      <c r="H8" s="365">
        <v>423</v>
      </c>
      <c r="I8" s="365">
        <v>420</v>
      </c>
      <c r="J8" s="365">
        <v>449</v>
      </c>
      <c r="K8" s="365">
        <v>436</v>
      </c>
      <c r="L8" s="365">
        <v>466</v>
      </c>
      <c r="M8" s="365">
        <v>394</v>
      </c>
      <c r="N8" s="365">
        <v>450</v>
      </c>
      <c r="O8" s="365">
        <v>395</v>
      </c>
      <c r="P8" s="375">
        <f t="shared" ref="P8:P21" si="0">SUM(O8/C8)*100</f>
        <v>94.724220623501196</v>
      </c>
      <c r="Q8" s="375">
        <f t="shared" ref="Q8:Q21" si="1">SUM(O8/N8)*100</f>
        <v>87.777777777777771</v>
      </c>
      <c r="R8" s="287"/>
      <c r="S8" s="287"/>
    </row>
    <row r="9" spans="1:19" ht="27" customHeight="1">
      <c r="A9" s="282">
        <v>3</v>
      </c>
      <c r="B9" s="365" t="s">
        <v>282</v>
      </c>
      <c r="C9" s="365">
        <v>416</v>
      </c>
      <c r="D9" s="365">
        <v>374</v>
      </c>
      <c r="E9" s="365">
        <v>497</v>
      </c>
      <c r="F9" s="365">
        <v>360</v>
      </c>
      <c r="G9" s="365">
        <v>351</v>
      </c>
      <c r="H9" s="365">
        <v>290</v>
      </c>
      <c r="I9" s="365">
        <v>290</v>
      </c>
      <c r="J9" s="365">
        <v>396</v>
      </c>
      <c r="K9" s="365">
        <v>356</v>
      </c>
      <c r="L9" s="365">
        <v>347</v>
      </c>
      <c r="M9" s="365">
        <v>315</v>
      </c>
      <c r="N9" s="365">
        <v>310</v>
      </c>
      <c r="O9" s="365">
        <v>318</v>
      </c>
      <c r="P9" s="375">
        <f t="shared" si="0"/>
        <v>76.442307692307693</v>
      </c>
      <c r="Q9" s="375">
        <f t="shared" si="1"/>
        <v>102.58064516129033</v>
      </c>
      <c r="R9" s="287"/>
      <c r="S9" s="287"/>
    </row>
    <row r="10" spans="1:19" ht="27" customHeight="1">
      <c r="A10" s="282">
        <v>4</v>
      </c>
      <c r="B10" s="365" t="s">
        <v>283</v>
      </c>
      <c r="C10" s="365">
        <v>290</v>
      </c>
      <c r="D10" s="365">
        <v>281</v>
      </c>
      <c r="E10" s="365">
        <v>322</v>
      </c>
      <c r="F10" s="365">
        <v>286</v>
      </c>
      <c r="G10" s="365">
        <v>271</v>
      </c>
      <c r="H10" s="365">
        <v>267</v>
      </c>
      <c r="I10" s="365">
        <v>294</v>
      </c>
      <c r="J10" s="365">
        <v>270</v>
      </c>
      <c r="K10" s="365">
        <v>262</v>
      </c>
      <c r="L10" s="365">
        <v>231</v>
      </c>
      <c r="M10" s="365">
        <v>230</v>
      </c>
      <c r="N10" s="365">
        <v>246</v>
      </c>
      <c r="O10" s="365">
        <v>233</v>
      </c>
      <c r="P10" s="375">
        <f t="shared" si="0"/>
        <v>80.344827586206904</v>
      </c>
      <c r="Q10" s="375">
        <f t="shared" si="1"/>
        <v>94.715447154471548</v>
      </c>
      <c r="R10" s="287"/>
      <c r="S10" s="287"/>
    </row>
    <row r="11" spans="1:19" ht="27" customHeight="1">
      <c r="A11" s="282">
        <v>5</v>
      </c>
      <c r="B11" s="365" t="s">
        <v>284</v>
      </c>
      <c r="C11" s="365">
        <v>723</v>
      </c>
      <c r="D11" s="365">
        <v>714</v>
      </c>
      <c r="E11" s="365">
        <v>633</v>
      </c>
      <c r="F11" s="365">
        <v>613</v>
      </c>
      <c r="G11" s="365">
        <v>593</v>
      </c>
      <c r="H11" s="365">
        <v>578</v>
      </c>
      <c r="I11" s="365">
        <v>561</v>
      </c>
      <c r="J11" s="365">
        <v>568</v>
      </c>
      <c r="K11" s="365">
        <v>568</v>
      </c>
      <c r="L11" s="365">
        <v>618</v>
      </c>
      <c r="M11" s="365">
        <v>629</v>
      </c>
      <c r="N11" s="365">
        <v>668</v>
      </c>
      <c r="O11" s="365">
        <v>575</v>
      </c>
      <c r="P11" s="375">
        <f t="shared" si="0"/>
        <v>79.529737206085755</v>
      </c>
      <c r="Q11" s="375">
        <f t="shared" si="1"/>
        <v>86.077844311377248</v>
      </c>
      <c r="R11" s="287"/>
      <c r="S11" s="287"/>
    </row>
    <row r="12" spans="1:19" ht="27" customHeight="1">
      <c r="A12" s="282">
        <v>6</v>
      </c>
      <c r="B12" s="365" t="s">
        <v>285</v>
      </c>
      <c r="C12" s="365">
        <v>511</v>
      </c>
      <c r="D12" s="365">
        <v>504</v>
      </c>
      <c r="E12" s="365">
        <v>502</v>
      </c>
      <c r="F12" s="365">
        <v>503</v>
      </c>
      <c r="G12" s="365">
        <v>517</v>
      </c>
      <c r="H12" s="365">
        <v>480</v>
      </c>
      <c r="I12" s="365">
        <v>457</v>
      </c>
      <c r="J12" s="432">
        <v>471</v>
      </c>
      <c r="K12" s="432">
        <v>485</v>
      </c>
      <c r="L12" s="432">
        <v>616</v>
      </c>
      <c r="M12" s="432">
        <v>609</v>
      </c>
      <c r="N12" s="432">
        <v>510</v>
      </c>
      <c r="O12" s="432">
        <v>456</v>
      </c>
      <c r="P12" s="375">
        <f t="shared" si="0"/>
        <v>89.236790606653614</v>
      </c>
      <c r="Q12" s="375">
        <f t="shared" si="1"/>
        <v>89.411764705882362</v>
      </c>
      <c r="R12" s="287"/>
      <c r="S12" s="287"/>
    </row>
    <row r="13" spans="1:19" ht="27" customHeight="1">
      <c r="A13" s="282">
        <v>7</v>
      </c>
      <c r="B13" s="365" t="s">
        <v>286</v>
      </c>
      <c r="C13" s="365">
        <v>504</v>
      </c>
      <c r="D13" s="365">
        <v>365</v>
      </c>
      <c r="E13" s="365">
        <v>412</v>
      </c>
      <c r="F13" s="365">
        <v>436</v>
      </c>
      <c r="G13" s="365">
        <v>388</v>
      </c>
      <c r="H13" s="365">
        <v>392</v>
      </c>
      <c r="I13" s="365">
        <v>370</v>
      </c>
      <c r="J13" s="365">
        <v>388</v>
      </c>
      <c r="K13" s="365">
        <v>422</v>
      </c>
      <c r="L13" s="365">
        <v>369</v>
      </c>
      <c r="M13" s="365">
        <v>397</v>
      </c>
      <c r="N13" s="365">
        <v>368</v>
      </c>
      <c r="O13" s="365">
        <v>331</v>
      </c>
      <c r="P13" s="375">
        <f t="shared" si="0"/>
        <v>65.674603174603178</v>
      </c>
      <c r="Q13" s="375">
        <f t="shared" si="1"/>
        <v>89.945652173913047</v>
      </c>
      <c r="R13" s="287"/>
      <c r="S13" s="287"/>
    </row>
    <row r="14" spans="1:19" ht="27" customHeight="1">
      <c r="A14" s="282">
        <v>8</v>
      </c>
      <c r="B14" s="365" t="s">
        <v>287</v>
      </c>
      <c r="C14" s="365">
        <v>356</v>
      </c>
      <c r="D14" s="365">
        <v>363</v>
      </c>
      <c r="E14" s="365">
        <v>353</v>
      </c>
      <c r="F14" s="365">
        <v>334</v>
      </c>
      <c r="G14" s="365">
        <v>331</v>
      </c>
      <c r="H14" s="365">
        <v>331</v>
      </c>
      <c r="I14" s="365">
        <v>329</v>
      </c>
      <c r="J14" s="365">
        <v>302</v>
      </c>
      <c r="K14" s="365">
        <v>325</v>
      </c>
      <c r="L14" s="365">
        <v>318</v>
      </c>
      <c r="M14" s="365">
        <v>340</v>
      </c>
      <c r="N14" s="365">
        <v>329</v>
      </c>
      <c r="O14" s="365">
        <v>322</v>
      </c>
      <c r="P14" s="375">
        <f t="shared" si="0"/>
        <v>90.449438202247194</v>
      </c>
      <c r="Q14" s="375">
        <f t="shared" si="1"/>
        <v>97.872340425531917</v>
      </c>
      <c r="R14" s="287"/>
      <c r="S14" s="287"/>
    </row>
    <row r="15" spans="1:19" ht="27" customHeight="1">
      <c r="A15" s="282">
        <v>9</v>
      </c>
      <c r="B15" s="365" t="s">
        <v>288</v>
      </c>
      <c r="C15" s="365">
        <v>559</v>
      </c>
      <c r="D15" s="365">
        <v>542</v>
      </c>
      <c r="E15" s="365">
        <v>531</v>
      </c>
      <c r="F15" s="365">
        <v>496</v>
      </c>
      <c r="G15" s="365">
        <v>474</v>
      </c>
      <c r="H15" s="365">
        <v>455</v>
      </c>
      <c r="I15" s="365">
        <v>444</v>
      </c>
      <c r="J15" s="365">
        <v>459</v>
      </c>
      <c r="K15" s="365">
        <v>474</v>
      </c>
      <c r="L15" s="365">
        <v>462</v>
      </c>
      <c r="M15" s="365">
        <v>367</v>
      </c>
      <c r="N15" s="365">
        <v>362</v>
      </c>
      <c r="O15" s="365">
        <v>350</v>
      </c>
      <c r="P15" s="375">
        <f t="shared" si="0"/>
        <v>62.611806797853312</v>
      </c>
      <c r="Q15" s="375">
        <f t="shared" si="1"/>
        <v>96.685082872928177</v>
      </c>
      <c r="R15" s="287"/>
      <c r="S15" s="287"/>
    </row>
    <row r="16" spans="1:19" ht="27" customHeight="1">
      <c r="A16" s="282">
        <v>10</v>
      </c>
      <c r="B16" s="365" t="s">
        <v>289</v>
      </c>
      <c r="C16" s="365">
        <v>683</v>
      </c>
      <c r="D16" s="365">
        <v>693</v>
      </c>
      <c r="E16" s="365">
        <v>793</v>
      </c>
      <c r="F16" s="365">
        <v>704</v>
      </c>
      <c r="G16" s="365">
        <v>687</v>
      </c>
      <c r="H16" s="365">
        <v>641</v>
      </c>
      <c r="I16" s="365">
        <v>640</v>
      </c>
      <c r="J16" s="365">
        <v>584</v>
      </c>
      <c r="K16" s="365">
        <v>567</v>
      </c>
      <c r="L16" s="365">
        <v>574</v>
      </c>
      <c r="M16" s="365">
        <v>495</v>
      </c>
      <c r="N16" s="365">
        <v>516</v>
      </c>
      <c r="O16" s="365">
        <v>478</v>
      </c>
      <c r="P16" s="375">
        <f t="shared" si="0"/>
        <v>69.985358711566619</v>
      </c>
      <c r="Q16" s="375">
        <f t="shared" si="1"/>
        <v>92.63565891472868</v>
      </c>
      <c r="R16" s="287"/>
      <c r="S16" s="287"/>
    </row>
    <row r="17" spans="1:19" ht="27" customHeight="1">
      <c r="A17" s="282">
        <v>11</v>
      </c>
      <c r="B17" s="365" t="s">
        <v>290</v>
      </c>
      <c r="C17" s="365">
        <v>839</v>
      </c>
      <c r="D17" s="365">
        <v>774</v>
      </c>
      <c r="E17" s="365">
        <v>752</v>
      </c>
      <c r="F17" s="365">
        <v>749</v>
      </c>
      <c r="G17" s="365">
        <v>698</v>
      </c>
      <c r="H17" s="365">
        <v>666</v>
      </c>
      <c r="I17" s="365">
        <v>637</v>
      </c>
      <c r="J17" s="365">
        <v>634</v>
      </c>
      <c r="K17" s="365">
        <v>629</v>
      </c>
      <c r="L17" s="365">
        <v>632</v>
      </c>
      <c r="M17" s="365">
        <v>598</v>
      </c>
      <c r="N17" s="365">
        <v>614</v>
      </c>
      <c r="O17" s="365">
        <v>561</v>
      </c>
      <c r="P17" s="375">
        <f t="shared" si="0"/>
        <v>66.865315852205015</v>
      </c>
      <c r="Q17" s="375">
        <f t="shared" si="1"/>
        <v>91.368078175895761</v>
      </c>
      <c r="R17" s="287"/>
      <c r="S17" s="287"/>
    </row>
    <row r="18" spans="1:19" ht="27" customHeight="1">
      <c r="A18" s="282">
        <v>12</v>
      </c>
      <c r="B18" s="365" t="s">
        <v>291</v>
      </c>
      <c r="C18" s="365">
        <v>557</v>
      </c>
      <c r="D18" s="365">
        <v>540</v>
      </c>
      <c r="E18" s="365">
        <v>534</v>
      </c>
      <c r="F18" s="365">
        <v>524</v>
      </c>
      <c r="G18" s="365">
        <v>504</v>
      </c>
      <c r="H18" s="365">
        <v>487</v>
      </c>
      <c r="I18" s="365">
        <v>438</v>
      </c>
      <c r="J18" s="365">
        <v>452</v>
      </c>
      <c r="K18" s="365">
        <v>487</v>
      </c>
      <c r="L18" s="365">
        <v>415</v>
      </c>
      <c r="M18" s="365">
        <v>406</v>
      </c>
      <c r="N18" s="365">
        <v>360</v>
      </c>
      <c r="O18" s="365">
        <v>360</v>
      </c>
      <c r="P18" s="375">
        <f t="shared" si="0"/>
        <v>64.631956912028727</v>
      </c>
      <c r="Q18" s="375">
        <f t="shared" si="1"/>
        <v>100</v>
      </c>
      <c r="R18" s="287"/>
      <c r="S18" s="287"/>
    </row>
    <row r="19" spans="1:19" ht="27" customHeight="1">
      <c r="A19" s="282">
        <v>13</v>
      </c>
      <c r="B19" s="365" t="s">
        <v>292</v>
      </c>
      <c r="C19" s="365">
        <v>279</v>
      </c>
      <c r="D19" s="365">
        <v>286</v>
      </c>
      <c r="E19" s="365">
        <v>271</v>
      </c>
      <c r="F19" s="365">
        <v>220</v>
      </c>
      <c r="G19" s="365">
        <v>302</v>
      </c>
      <c r="H19" s="365">
        <v>278</v>
      </c>
      <c r="I19" s="365">
        <v>220</v>
      </c>
      <c r="J19" s="365">
        <v>259</v>
      </c>
      <c r="K19" s="365">
        <v>282</v>
      </c>
      <c r="L19" s="365">
        <v>278</v>
      </c>
      <c r="M19" s="365">
        <v>272</v>
      </c>
      <c r="N19" s="365">
        <v>292</v>
      </c>
      <c r="O19" s="365">
        <v>239</v>
      </c>
      <c r="P19" s="375">
        <f t="shared" si="0"/>
        <v>85.663082437275989</v>
      </c>
      <c r="Q19" s="375">
        <f t="shared" si="1"/>
        <v>81.849315068493155</v>
      </c>
      <c r="R19" s="287"/>
      <c r="S19" s="287"/>
    </row>
    <row r="20" spans="1:19" ht="27" customHeight="1">
      <c r="A20" s="282">
        <v>14</v>
      </c>
      <c r="B20" s="365" t="s">
        <v>293</v>
      </c>
      <c r="C20" s="365">
        <v>2040</v>
      </c>
      <c r="D20" s="365">
        <v>1511</v>
      </c>
      <c r="E20" s="365">
        <v>1413</v>
      </c>
      <c r="F20" s="365">
        <v>1543</v>
      </c>
      <c r="G20" s="365">
        <v>1288</v>
      </c>
      <c r="H20" s="365">
        <v>1202</v>
      </c>
      <c r="I20" s="365">
        <v>1279</v>
      </c>
      <c r="J20" s="365">
        <v>1048</v>
      </c>
      <c r="K20" s="365">
        <v>1081</v>
      </c>
      <c r="L20" s="365">
        <v>886</v>
      </c>
      <c r="M20" s="365">
        <v>708</v>
      </c>
      <c r="N20" s="365">
        <v>795</v>
      </c>
      <c r="O20" s="365">
        <v>743</v>
      </c>
      <c r="P20" s="375">
        <f t="shared" si="0"/>
        <v>36.421568627450981</v>
      </c>
      <c r="Q20" s="375">
        <f t="shared" si="1"/>
        <v>93.459119496855351</v>
      </c>
      <c r="R20" s="287"/>
      <c r="S20" s="287"/>
    </row>
    <row r="21" spans="1:19" ht="27" customHeight="1">
      <c r="A21" s="1500" t="s">
        <v>269</v>
      </c>
      <c r="B21" s="1500"/>
      <c r="C21" s="365">
        <f t="shared" ref="C21:O21" si="2">SUM(C7:C20)</f>
        <v>8774</v>
      </c>
      <c r="D21" s="365">
        <f t="shared" si="2"/>
        <v>7949</v>
      </c>
      <c r="E21" s="365">
        <f t="shared" si="2"/>
        <v>7967</v>
      </c>
      <c r="F21" s="365">
        <f t="shared" si="2"/>
        <v>7642</v>
      </c>
      <c r="G21" s="365">
        <f t="shared" si="2"/>
        <v>7314</v>
      </c>
      <c r="H21" s="365">
        <f t="shared" si="2"/>
        <v>6972</v>
      </c>
      <c r="I21" s="365">
        <f t="shared" si="2"/>
        <v>6893</v>
      </c>
      <c r="J21" s="365">
        <f t="shared" si="2"/>
        <v>6784</v>
      </c>
      <c r="K21" s="365">
        <f t="shared" si="2"/>
        <v>6877</v>
      </c>
      <c r="L21" s="365">
        <f t="shared" si="2"/>
        <v>6715</v>
      </c>
      <c r="M21" s="365">
        <f t="shared" si="2"/>
        <v>6267</v>
      </c>
      <c r="N21" s="365">
        <f t="shared" si="2"/>
        <v>6307</v>
      </c>
      <c r="O21" s="365">
        <f t="shared" si="2"/>
        <v>5819</v>
      </c>
      <c r="P21" s="375">
        <f t="shared" si="0"/>
        <v>66.320948256211537</v>
      </c>
      <c r="Q21" s="375">
        <f t="shared" si="1"/>
        <v>92.262565403519901</v>
      </c>
      <c r="R21" s="287"/>
      <c r="S21" s="287"/>
    </row>
    <row r="28" spans="1:19">
      <c r="A28" s="1501"/>
      <c r="B28" s="1501"/>
      <c r="C28" s="1501"/>
      <c r="D28" s="1501"/>
      <c r="E28" s="1501"/>
      <c r="F28" s="1501"/>
      <c r="G28" s="1501"/>
      <c r="H28" s="1501"/>
      <c r="I28" s="1501"/>
      <c r="J28" s="1501"/>
      <c r="K28" s="1501"/>
      <c r="L28" s="1501"/>
      <c r="M28" s="1501"/>
      <c r="N28" s="1501"/>
      <c r="O28" s="1501"/>
      <c r="P28" s="1501"/>
      <c r="Q28" s="1501"/>
    </row>
    <row r="31" spans="1:19">
      <c r="A31" s="1501"/>
      <c r="B31" s="1501"/>
      <c r="C31" s="1501"/>
      <c r="D31" s="1501"/>
      <c r="E31" s="1501"/>
      <c r="F31" s="1501"/>
      <c r="G31" s="1501"/>
      <c r="H31" s="1501"/>
      <c r="I31" s="1501"/>
      <c r="J31" s="1501"/>
      <c r="K31" s="1501"/>
      <c r="L31" s="1501"/>
      <c r="M31" s="1501"/>
      <c r="N31" s="1501"/>
      <c r="O31" s="1501"/>
      <c r="P31" s="1501"/>
      <c r="Q31" s="1501"/>
    </row>
    <row r="47" spans="18:19">
      <c r="R47" s="287"/>
      <c r="S47" s="287"/>
    </row>
    <row r="48" spans="18:19">
      <c r="R48" s="287"/>
      <c r="S48" s="287"/>
    </row>
    <row r="49" spans="18:19">
      <c r="R49" s="287"/>
      <c r="S49" s="287"/>
    </row>
    <row r="50" spans="18:19">
      <c r="R50" s="287"/>
      <c r="S50" s="287"/>
    </row>
    <row r="51" spans="18:19">
      <c r="R51" s="287"/>
      <c r="S51" s="287"/>
    </row>
    <row r="52" spans="18:19">
      <c r="R52" s="287"/>
      <c r="S52" s="287"/>
    </row>
    <row r="53" spans="18:19">
      <c r="R53" s="287"/>
      <c r="S53" s="287"/>
    </row>
    <row r="54" spans="18:19">
      <c r="R54" s="287"/>
      <c r="S54" s="287"/>
    </row>
    <row r="55" spans="18:19">
      <c r="R55" s="287"/>
      <c r="S55" s="287"/>
    </row>
    <row r="56" spans="18:19">
      <c r="R56" s="287"/>
      <c r="S56" s="287"/>
    </row>
    <row r="57" spans="18:19">
      <c r="R57" s="287"/>
      <c r="S57" s="287"/>
    </row>
    <row r="58" spans="18:19">
      <c r="R58" s="287"/>
      <c r="S58" s="287"/>
    </row>
    <row r="59" spans="18:19">
      <c r="R59" s="287"/>
      <c r="S59" s="287"/>
    </row>
    <row r="60" spans="18:19">
      <c r="R60" s="287"/>
      <c r="S60" s="287"/>
    </row>
    <row r="61" spans="18:19">
      <c r="R61" s="287"/>
      <c r="S61" s="287"/>
    </row>
  </sheetData>
  <mergeCells count="10">
    <mergeCell ref="C4:O5"/>
    <mergeCell ref="A21:B21"/>
    <mergeCell ref="A31:Q31"/>
    <mergeCell ref="A28:Q28"/>
    <mergeCell ref="A1:Q1"/>
    <mergeCell ref="A2:Q2"/>
    <mergeCell ref="A3:E3"/>
    <mergeCell ref="A4:A6"/>
    <mergeCell ref="B4:B6"/>
    <mergeCell ref="P4:Q5"/>
  </mergeCells>
  <pageMargins left="0.47" right="0.28999999999999998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7"/>
  <sheetViews>
    <sheetView workbookViewId="0">
      <selection activeCell="A27" sqref="A27:Q27"/>
    </sheetView>
  </sheetViews>
  <sheetFormatPr defaultRowHeight="12.75"/>
  <cols>
    <col min="1" max="1" width="13.7109375" style="279" customWidth="1"/>
    <col min="2" max="5" width="6.5703125" style="279" customWidth="1"/>
    <col min="6" max="6" width="6.7109375" style="279" customWidth="1"/>
    <col min="7" max="10" width="7.28515625" style="279" customWidth="1"/>
    <col min="11" max="11" width="6.42578125" style="279" customWidth="1"/>
    <col min="12" max="13" width="7.28515625" style="279" customWidth="1"/>
    <col min="14" max="16384" width="9.140625" style="279"/>
  </cols>
  <sheetData>
    <row r="1" spans="1:17">
      <c r="A1" s="1501"/>
      <c r="B1" s="1501"/>
      <c r="C1" s="1501"/>
      <c r="D1" s="1501"/>
      <c r="E1" s="1501"/>
    </row>
    <row r="2" spans="1:17">
      <c r="A2" s="1501" t="s">
        <v>785</v>
      </c>
      <c r="B2" s="1501"/>
      <c r="C2" s="1501"/>
      <c r="D2" s="1501"/>
      <c r="E2" s="1501"/>
      <c r="F2" s="1501"/>
      <c r="G2" s="1501"/>
      <c r="H2" s="1501"/>
      <c r="I2" s="1501"/>
      <c r="J2" s="1501"/>
      <c r="K2" s="1501"/>
      <c r="L2" s="1501"/>
      <c r="M2" s="1501"/>
      <c r="N2" s="1501"/>
      <c r="O2" s="1501"/>
      <c r="P2" s="1501"/>
      <c r="Q2" s="1501"/>
    </row>
    <row r="4" spans="1:17">
      <c r="A4" s="361"/>
      <c r="H4" s="1503"/>
      <c r="I4" s="1503"/>
    </row>
    <row r="5" spans="1:17" ht="12.75" customHeight="1">
      <c r="A5" s="1504"/>
      <c r="B5" s="1508" t="s">
        <v>786</v>
      </c>
      <c r="C5" s="1509"/>
      <c r="D5" s="1509"/>
      <c r="E5" s="1510"/>
      <c r="F5" s="1504">
        <v>2010</v>
      </c>
      <c r="G5" s="1504"/>
      <c r="H5" s="1504"/>
      <c r="I5" s="1504"/>
      <c r="J5" s="1504">
        <v>2011</v>
      </c>
      <c r="K5" s="1504"/>
      <c r="L5" s="1504"/>
      <c r="M5" s="1504"/>
      <c r="N5" s="1504">
        <v>2012</v>
      </c>
      <c r="O5" s="1504"/>
      <c r="P5" s="1504"/>
      <c r="Q5" s="1504"/>
    </row>
    <row r="6" spans="1:17" ht="12.75" customHeight="1">
      <c r="A6" s="1504"/>
      <c r="B6" s="1511"/>
      <c r="C6" s="1512"/>
      <c r="D6" s="1512"/>
      <c r="E6" s="1513"/>
      <c r="F6" s="1506" t="s">
        <v>64</v>
      </c>
      <c r="G6" s="1504" t="s">
        <v>275</v>
      </c>
      <c r="H6" s="1504"/>
      <c r="I6" s="1504"/>
      <c r="J6" s="1506" t="s">
        <v>64</v>
      </c>
      <c r="K6" s="1504" t="s">
        <v>275</v>
      </c>
      <c r="L6" s="1504"/>
      <c r="M6" s="1504"/>
      <c r="N6" s="1506" t="s">
        <v>64</v>
      </c>
      <c r="O6" s="1504" t="s">
        <v>275</v>
      </c>
      <c r="P6" s="1504"/>
      <c r="Q6" s="1504"/>
    </row>
    <row r="7" spans="1:17" ht="76.5">
      <c r="A7" s="1504"/>
      <c r="B7" s="282">
        <v>2009</v>
      </c>
      <c r="C7" s="282">
        <v>2010</v>
      </c>
      <c r="D7" s="282">
        <v>2011</v>
      </c>
      <c r="E7" s="282">
        <v>2012</v>
      </c>
      <c r="F7" s="1507"/>
      <c r="G7" s="531" t="s">
        <v>65</v>
      </c>
      <c r="H7" s="531" t="s">
        <v>66</v>
      </c>
      <c r="I7" s="531" t="s">
        <v>67</v>
      </c>
      <c r="J7" s="1507"/>
      <c r="K7" s="531" t="s">
        <v>65</v>
      </c>
      <c r="L7" s="531" t="s">
        <v>66</v>
      </c>
      <c r="M7" s="531" t="s">
        <v>67</v>
      </c>
      <c r="N7" s="1507"/>
      <c r="O7" s="531" t="s">
        <v>65</v>
      </c>
      <c r="P7" s="531" t="s">
        <v>66</v>
      </c>
      <c r="Q7" s="531" t="s">
        <v>67</v>
      </c>
    </row>
    <row r="8" spans="1:17" ht="23.25" customHeight="1">
      <c r="A8" s="362" t="s">
        <v>280</v>
      </c>
      <c r="B8" s="363">
        <v>355</v>
      </c>
      <c r="C8" s="364">
        <v>287</v>
      </c>
      <c r="D8" s="363">
        <v>235</v>
      </c>
      <c r="E8" s="678">
        <v>274</v>
      </c>
      <c r="F8" s="286">
        <v>675</v>
      </c>
      <c r="G8" s="286">
        <v>292</v>
      </c>
      <c r="H8" s="286">
        <v>340</v>
      </c>
      <c r="I8" s="286">
        <v>43</v>
      </c>
      <c r="J8" s="286">
        <v>518</v>
      </c>
      <c r="K8" s="286">
        <v>206</v>
      </c>
      <c r="L8" s="286">
        <v>284</v>
      </c>
      <c r="M8" s="286">
        <v>28</v>
      </c>
      <c r="N8" s="681">
        <v>589</v>
      </c>
      <c r="O8" s="681">
        <v>217</v>
      </c>
      <c r="P8" s="681">
        <v>336</v>
      </c>
      <c r="Q8" s="681">
        <v>36</v>
      </c>
    </row>
    <row r="9" spans="1:17" ht="23.25" customHeight="1">
      <c r="A9" s="365" t="s">
        <v>281</v>
      </c>
      <c r="B9" s="286">
        <v>303</v>
      </c>
      <c r="C9" s="366">
        <v>241</v>
      </c>
      <c r="D9" s="286">
        <v>251</v>
      </c>
      <c r="E9" s="679">
        <v>243</v>
      </c>
      <c r="F9" s="286">
        <v>471</v>
      </c>
      <c r="G9" s="286">
        <v>204</v>
      </c>
      <c r="H9" s="286">
        <v>200</v>
      </c>
      <c r="I9" s="286">
        <v>67</v>
      </c>
      <c r="J9" s="286">
        <v>498</v>
      </c>
      <c r="K9" s="286">
        <v>187</v>
      </c>
      <c r="L9" s="286">
        <v>256</v>
      </c>
      <c r="M9" s="286">
        <v>55</v>
      </c>
      <c r="N9" s="680">
        <v>483</v>
      </c>
      <c r="O9" s="679">
        <v>174</v>
      </c>
      <c r="P9" s="679">
        <v>259</v>
      </c>
      <c r="Q9" s="679">
        <v>50</v>
      </c>
    </row>
    <row r="10" spans="1:17" ht="23.25" customHeight="1">
      <c r="A10" s="365" t="s">
        <v>282</v>
      </c>
      <c r="B10" s="286">
        <v>233</v>
      </c>
      <c r="C10" s="366">
        <v>217</v>
      </c>
      <c r="D10" s="286">
        <v>224</v>
      </c>
      <c r="E10" s="679">
        <v>240</v>
      </c>
      <c r="F10" s="286">
        <v>457</v>
      </c>
      <c r="G10" s="286">
        <v>202</v>
      </c>
      <c r="H10" s="286">
        <v>196</v>
      </c>
      <c r="I10" s="286">
        <v>59</v>
      </c>
      <c r="J10" s="286">
        <v>475</v>
      </c>
      <c r="K10" s="286">
        <v>200</v>
      </c>
      <c r="L10" s="286">
        <v>220</v>
      </c>
      <c r="M10" s="286">
        <v>55</v>
      </c>
      <c r="N10" s="680">
        <v>486</v>
      </c>
      <c r="O10" s="679">
        <v>180</v>
      </c>
      <c r="P10" s="679">
        <v>253</v>
      </c>
      <c r="Q10" s="679">
        <v>53</v>
      </c>
    </row>
    <row r="11" spans="1:17" ht="23.25" customHeight="1">
      <c r="A11" s="365" t="s">
        <v>283</v>
      </c>
      <c r="B11" s="286">
        <v>169</v>
      </c>
      <c r="C11" s="366">
        <v>166</v>
      </c>
      <c r="D11" s="286">
        <v>146</v>
      </c>
      <c r="E11" s="679">
        <v>170</v>
      </c>
      <c r="F11" s="286">
        <v>340</v>
      </c>
      <c r="G11" s="286">
        <v>163</v>
      </c>
      <c r="H11" s="286">
        <v>146</v>
      </c>
      <c r="I11" s="286">
        <v>31</v>
      </c>
      <c r="J11" s="286">
        <v>266</v>
      </c>
      <c r="K11" s="286">
        <v>111</v>
      </c>
      <c r="L11" s="286">
        <v>124</v>
      </c>
      <c r="M11" s="286">
        <v>31</v>
      </c>
      <c r="N11" s="679">
        <v>320</v>
      </c>
      <c r="O11" s="679">
        <v>160</v>
      </c>
      <c r="P11" s="679">
        <v>135</v>
      </c>
      <c r="Q11" s="679">
        <v>25</v>
      </c>
    </row>
    <row r="12" spans="1:17" ht="23.25" customHeight="1">
      <c r="A12" s="365" t="s">
        <v>284</v>
      </c>
      <c r="B12" s="286">
        <v>411</v>
      </c>
      <c r="C12" s="366">
        <v>410</v>
      </c>
      <c r="D12" s="286">
        <v>422</v>
      </c>
      <c r="E12" s="679">
        <v>380</v>
      </c>
      <c r="F12" s="286">
        <v>822</v>
      </c>
      <c r="G12" s="286">
        <v>378</v>
      </c>
      <c r="H12" s="286">
        <v>332</v>
      </c>
      <c r="I12" s="286">
        <v>112</v>
      </c>
      <c r="J12" s="286">
        <v>888</v>
      </c>
      <c r="K12" s="286">
        <v>394</v>
      </c>
      <c r="L12" s="286">
        <v>382</v>
      </c>
      <c r="M12" s="286">
        <v>112</v>
      </c>
      <c r="N12" s="680">
        <v>1071</v>
      </c>
      <c r="O12" s="679">
        <v>477</v>
      </c>
      <c r="P12" s="679">
        <v>521</v>
      </c>
      <c r="Q12" s="679">
        <v>73</v>
      </c>
    </row>
    <row r="13" spans="1:17" ht="23.25" customHeight="1">
      <c r="A13" s="365" t="s">
        <v>285</v>
      </c>
      <c r="B13" s="286">
        <v>421</v>
      </c>
      <c r="C13" s="366">
        <v>465</v>
      </c>
      <c r="D13" s="286">
        <v>414</v>
      </c>
      <c r="E13" s="680">
        <v>315</v>
      </c>
      <c r="F13" s="286">
        <v>488</v>
      </c>
      <c r="G13" s="286">
        <v>271</v>
      </c>
      <c r="H13" s="286">
        <v>205</v>
      </c>
      <c r="I13" s="286">
        <v>12</v>
      </c>
      <c r="J13" s="286">
        <v>752</v>
      </c>
      <c r="K13" s="286">
        <v>367</v>
      </c>
      <c r="L13" s="286">
        <v>338</v>
      </c>
      <c r="M13" s="286">
        <v>47</v>
      </c>
      <c r="N13" s="679">
        <v>601</v>
      </c>
      <c r="O13" s="679">
        <v>300</v>
      </c>
      <c r="P13" s="679">
        <v>273</v>
      </c>
      <c r="Q13" s="679">
        <v>28</v>
      </c>
    </row>
    <row r="14" spans="1:17" ht="23.25" customHeight="1">
      <c r="A14" s="365" t="s">
        <v>286</v>
      </c>
      <c r="B14" s="286">
        <v>207</v>
      </c>
      <c r="C14" s="366">
        <v>187</v>
      </c>
      <c r="D14" s="286">
        <v>256</v>
      </c>
      <c r="E14" s="679">
        <v>195</v>
      </c>
      <c r="F14" s="286">
        <v>474</v>
      </c>
      <c r="G14" s="286">
        <v>171</v>
      </c>
      <c r="H14" s="286">
        <v>163</v>
      </c>
      <c r="I14" s="286">
        <v>140</v>
      </c>
      <c r="J14" s="286">
        <v>462</v>
      </c>
      <c r="K14" s="286">
        <v>201</v>
      </c>
      <c r="L14" s="286">
        <v>228</v>
      </c>
      <c r="M14" s="286">
        <v>33</v>
      </c>
      <c r="N14" s="679">
        <v>391</v>
      </c>
      <c r="O14" s="679">
        <v>141</v>
      </c>
      <c r="P14" s="679">
        <v>224</v>
      </c>
      <c r="Q14" s="679">
        <v>26</v>
      </c>
    </row>
    <row r="15" spans="1:17" ht="23.25" customHeight="1">
      <c r="A15" s="365" t="s">
        <v>287</v>
      </c>
      <c r="B15" s="286">
        <v>268</v>
      </c>
      <c r="C15" s="366">
        <v>166</v>
      </c>
      <c r="D15" s="286">
        <v>208</v>
      </c>
      <c r="E15" s="679">
        <v>206</v>
      </c>
      <c r="F15" s="286">
        <v>424</v>
      </c>
      <c r="G15" s="286">
        <v>199</v>
      </c>
      <c r="H15" s="286">
        <v>198</v>
      </c>
      <c r="I15" s="286">
        <v>27</v>
      </c>
      <c r="J15" s="286">
        <v>409</v>
      </c>
      <c r="K15" s="286">
        <v>171</v>
      </c>
      <c r="L15" s="286">
        <v>197</v>
      </c>
      <c r="M15" s="286">
        <v>41</v>
      </c>
      <c r="N15" s="679">
        <v>398</v>
      </c>
      <c r="O15" s="679">
        <v>158</v>
      </c>
      <c r="P15" s="679">
        <v>217</v>
      </c>
      <c r="Q15" s="679">
        <v>23</v>
      </c>
    </row>
    <row r="16" spans="1:17" ht="23.25" customHeight="1">
      <c r="A16" s="365" t="s">
        <v>288</v>
      </c>
      <c r="B16" s="286">
        <v>388</v>
      </c>
      <c r="C16" s="366">
        <v>320</v>
      </c>
      <c r="D16" s="286">
        <v>290</v>
      </c>
      <c r="E16" s="679">
        <v>254</v>
      </c>
      <c r="F16" s="286">
        <v>772</v>
      </c>
      <c r="G16" s="286">
        <v>378</v>
      </c>
      <c r="H16" s="286">
        <v>331</v>
      </c>
      <c r="I16" s="286">
        <v>63</v>
      </c>
      <c r="J16" s="286">
        <v>548</v>
      </c>
      <c r="K16" s="286">
        <v>238</v>
      </c>
      <c r="L16" s="286">
        <v>268</v>
      </c>
      <c r="M16" s="286">
        <v>42</v>
      </c>
      <c r="N16" s="679">
        <v>486</v>
      </c>
      <c r="O16" s="679">
        <v>211</v>
      </c>
      <c r="P16" s="679">
        <v>241</v>
      </c>
      <c r="Q16" s="679">
        <v>34</v>
      </c>
    </row>
    <row r="17" spans="1:17" ht="23.25" customHeight="1">
      <c r="A17" s="365" t="s">
        <v>289</v>
      </c>
      <c r="B17" s="286">
        <v>406</v>
      </c>
      <c r="C17" s="366">
        <v>320</v>
      </c>
      <c r="D17" s="286">
        <v>311</v>
      </c>
      <c r="E17" s="679">
        <v>260</v>
      </c>
      <c r="F17" s="286">
        <v>622</v>
      </c>
      <c r="G17" s="286">
        <v>294</v>
      </c>
      <c r="H17" s="286">
        <v>292</v>
      </c>
      <c r="I17" s="286">
        <v>36</v>
      </c>
      <c r="J17" s="286">
        <v>611</v>
      </c>
      <c r="K17" s="286">
        <v>269</v>
      </c>
      <c r="L17" s="286">
        <v>278</v>
      </c>
      <c r="M17" s="286">
        <v>64</v>
      </c>
      <c r="N17" s="679">
        <v>523</v>
      </c>
      <c r="O17" s="679">
        <v>219</v>
      </c>
      <c r="P17" s="679">
        <v>276</v>
      </c>
      <c r="Q17" s="679">
        <v>28</v>
      </c>
    </row>
    <row r="18" spans="1:17" ht="23.25" customHeight="1">
      <c r="A18" s="365" t="s">
        <v>290</v>
      </c>
      <c r="B18" s="286">
        <v>477</v>
      </c>
      <c r="C18" s="366">
        <v>443</v>
      </c>
      <c r="D18" s="286">
        <v>389</v>
      </c>
      <c r="E18" s="679">
        <v>368</v>
      </c>
      <c r="F18" s="286">
        <v>843</v>
      </c>
      <c r="G18" s="286">
        <v>338</v>
      </c>
      <c r="H18" s="286">
        <v>370</v>
      </c>
      <c r="I18" s="286">
        <v>135</v>
      </c>
      <c r="J18" s="286">
        <v>876</v>
      </c>
      <c r="K18" s="286">
        <v>287</v>
      </c>
      <c r="L18" s="286">
        <v>386</v>
      </c>
      <c r="M18" s="286">
        <v>94</v>
      </c>
      <c r="N18" s="680">
        <v>677</v>
      </c>
      <c r="O18" s="679">
        <v>222</v>
      </c>
      <c r="P18" s="679">
        <v>391</v>
      </c>
      <c r="Q18" s="679">
        <v>64</v>
      </c>
    </row>
    <row r="19" spans="1:17" ht="23.25" customHeight="1">
      <c r="A19" s="365" t="s">
        <v>291</v>
      </c>
      <c r="B19" s="286">
        <v>273</v>
      </c>
      <c r="C19" s="366">
        <v>292</v>
      </c>
      <c r="D19" s="286">
        <v>323</v>
      </c>
      <c r="E19" s="680">
        <v>227</v>
      </c>
      <c r="F19" s="286">
        <v>590</v>
      </c>
      <c r="G19" s="286">
        <v>249</v>
      </c>
      <c r="H19" s="286">
        <v>299</v>
      </c>
      <c r="I19" s="286">
        <v>42</v>
      </c>
      <c r="J19" s="286">
        <v>245</v>
      </c>
      <c r="K19" s="286">
        <v>424</v>
      </c>
      <c r="L19" s="286">
        <v>372</v>
      </c>
      <c r="M19" s="286">
        <v>80</v>
      </c>
      <c r="N19" s="679">
        <v>432</v>
      </c>
      <c r="O19" s="679">
        <v>190</v>
      </c>
      <c r="P19" s="679">
        <v>218</v>
      </c>
      <c r="Q19" s="679">
        <v>24</v>
      </c>
    </row>
    <row r="20" spans="1:17" ht="23.25" customHeight="1">
      <c r="A20" s="365" t="s">
        <v>292</v>
      </c>
      <c r="B20" s="286">
        <v>111</v>
      </c>
      <c r="C20" s="366">
        <v>107</v>
      </c>
      <c r="D20" s="286">
        <v>120</v>
      </c>
      <c r="E20" s="679">
        <v>103</v>
      </c>
      <c r="F20" s="286">
        <v>194</v>
      </c>
      <c r="G20" s="286">
        <v>75</v>
      </c>
      <c r="H20" s="286">
        <v>68</v>
      </c>
      <c r="I20" s="286">
        <v>51</v>
      </c>
      <c r="J20" s="286">
        <v>419</v>
      </c>
      <c r="K20" s="286">
        <v>105</v>
      </c>
      <c r="L20" s="286">
        <v>123</v>
      </c>
      <c r="M20" s="286">
        <v>17</v>
      </c>
      <c r="N20" s="679">
        <v>240</v>
      </c>
      <c r="O20" s="679">
        <v>111</v>
      </c>
      <c r="P20" s="679">
        <v>112</v>
      </c>
      <c r="Q20" s="679">
        <v>17</v>
      </c>
    </row>
    <row r="21" spans="1:17" ht="23.25" customHeight="1">
      <c r="A21" s="365" t="s">
        <v>293</v>
      </c>
      <c r="B21" s="286">
        <v>410</v>
      </c>
      <c r="C21" s="366">
        <v>442</v>
      </c>
      <c r="D21" s="286">
        <v>486</v>
      </c>
      <c r="E21" s="679">
        <v>509</v>
      </c>
      <c r="F21" s="286">
        <v>1371</v>
      </c>
      <c r="G21" s="286">
        <v>499</v>
      </c>
      <c r="H21" s="286">
        <v>561</v>
      </c>
      <c r="I21" s="286">
        <v>311</v>
      </c>
      <c r="J21" s="286">
        <v>1064</v>
      </c>
      <c r="K21" s="286">
        <v>268</v>
      </c>
      <c r="L21" s="286">
        <v>520</v>
      </c>
      <c r="M21" s="286">
        <v>276</v>
      </c>
      <c r="N21" s="680">
        <v>1125</v>
      </c>
      <c r="O21" s="679">
        <v>325</v>
      </c>
      <c r="P21" s="679">
        <v>544</v>
      </c>
      <c r="Q21" s="679">
        <v>256</v>
      </c>
    </row>
    <row r="22" spans="1:17" ht="23.25" customHeight="1">
      <c r="A22" s="365"/>
      <c r="B22" s="286">
        <f t="shared" ref="B22:Q22" si="0">SUM(B8:B21)</f>
        <v>4432</v>
      </c>
      <c r="C22" s="286">
        <f t="shared" si="0"/>
        <v>4063</v>
      </c>
      <c r="D22" s="286">
        <f t="shared" si="0"/>
        <v>4075</v>
      </c>
      <c r="E22" s="286">
        <f t="shared" si="0"/>
        <v>3744</v>
      </c>
      <c r="F22" s="286">
        <f t="shared" si="0"/>
        <v>8543</v>
      </c>
      <c r="G22" s="286">
        <f t="shared" si="0"/>
        <v>3713</v>
      </c>
      <c r="H22" s="286">
        <f t="shared" si="0"/>
        <v>3701</v>
      </c>
      <c r="I22" s="286">
        <f t="shared" si="0"/>
        <v>1129</v>
      </c>
      <c r="J22" s="286">
        <f t="shared" si="0"/>
        <v>8031</v>
      </c>
      <c r="K22" s="286">
        <f t="shared" si="0"/>
        <v>3428</v>
      </c>
      <c r="L22" s="286">
        <v>3976</v>
      </c>
      <c r="M22" s="286">
        <f t="shared" si="0"/>
        <v>975</v>
      </c>
      <c r="N22" s="286">
        <f t="shared" si="0"/>
        <v>7822</v>
      </c>
      <c r="O22" s="286">
        <f t="shared" si="0"/>
        <v>3085</v>
      </c>
      <c r="P22" s="286">
        <f t="shared" si="0"/>
        <v>4000</v>
      </c>
      <c r="Q22" s="286">
        <f t="shared" si="0"/>
        <v>737</v>
      </c>
    </row>
    <row r="23" spans="1:17">
      <c r="A23" s="303"/>
      <c r="B23" s="303"/>
      <c r="C23" s="303"/>
      <c r="D23" s="303"/>
      <c r="E23" s="303"/>
      <c r="F23" s="367"/>
      <c r="G23" s="367"/>
      <c r="H23" s="367"/>
      <c r="I23" s="367"/>
    </row>
    <row r="24" spans="1:17">
      <c r="A24" s="303"/>
      <c r="B24" s="303"/>
      <c r="C24" s="303"/>
      <c r="D24" s="303"/>
      <c r="E24" s="303"/>
      <c r="F24" s="367"/>
      <c r="G24" s="367"/>
      <c r="H24" s="367"/>
      <c r="I24" s="367"/>
    </row>
    <row r="25" spans="1:17">
      <c r="A25" s="303"/>
      <c r="B25" s="303"/>
      <c r="C25" s="303"/>
      <c r="D25" s="303"/>
      <c r="E25" s="303"/>
      <c r="F25" s="367"/>
      <c r="G25" s="367"/>
      <c r="H25" s="367"/>
      <c r="I25" s="367"/>
    </row>
    <row r="26" spans="1:17">
      <c r="A26" s="303"/>
      <c r="B26" s="303"/>
      <c r="C26" s="303"/>
      <c r="D26" s="303"/>
      <c r="E26" s="303"/>
      <c r="F26" s="367"/>
      <c r="G26" s="367"/>
      <c r="H26" s="367"/>
      <c r="I26" s="367"/>
    </row>
    <row r="27" spans="1:17">
      <c r="A27" s="1501"/>
      <c r="B27" s="1501"/>
      <c r="C27" s="1501"/>
      <c r="D27" s="1501"/>
      <c r="E27" s="1501"/>
      <c r="F27" s="1501"/>
      <c r="G27" s="1501"/>
      <c r="H27" s="1501"/>
      <c r="I27" s="1501"/>
      <c r="J27" s="1501"/>
      <c r="K27" s="1501"/>
      <c r="L27" s="1501"/>
      <c r="M27" s="1501"/>
      <c r="N27" s="1501"/>
      <c r="O27" s="1501"/>
      <c r="P27" s="1501"/>
      <c r="Q27" s="1501"/>
    </row>
  </sheetData>
  <mergeCells count="15">
    <mergeCell ref="A1:E1"/>
    <mergeCell ref="H4:I4"/>
    <mergeCell ref="A5:A7"/>
    <mergeCell ref="F5:I5"/>
    <mergeCell ref="A27:Q27"/>
    <mergeCell ref="N5:Q5"/>
    <mergeCell ref="N6:N7"/>
    <mergeCell ref="O6:Q6"/>
    <mergeCell ref="K6:M6"/>
    <mergeCell ref="A2:Q2"/>
    <mergeCell ref="J5:M5"/>
    <mergeCell ref="G6:I6"/>
    <mergeCell ref="J6:J7"/>
    <mergeCell ref="F6:F7"/>
    <mergeCell ref="B5:E6"/>
  </mergeCells>
  <pageMargins left="0.47" right="0.2" top="0.54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44"/>
  <sheetViews>
    <sheetView workbookViewId="0">
      <selection activeCell="B6" sqref="B6:I16"/>
    </sheetView>
  </sheetViews>
  <sheetFormatPr defaultRowHeight="12.75"/>
  <cols>
    <col min="1" max="1" width="22" style="99" customWidth="1"/>
    <col min="2" max="2" width="8" style="99" customWidth="1"/>
    <col min="3" max="16384" width="9.140625" style="99"/>
  </cols>
  <sheetData>
    <row r="1" spans="1:9">
      <c r="A1" s="1515" t="s">
        <v>787</v>
      </c>
      <c r="B1" s="1515"/>
      <c r="C1" s="1515"/>
      <c r="D1" s="1515"/>
      <c r="E1" s="1515"/>
      <c r="F1" s="1515"/>
      <c r="G1" s="1515"/>
      <c r="H1" s="1515"/>
      <c r="I1" s="1515"/>
    </row>
    <row r="3" spans="1:9">
      <c r="A3" s="1516"/>
      <c r="B3" s="1519" t="s">
        <v>788</v>
      </c>
      <c r="C3" s="1519" t="s">
        <v>789</v>
      </c>
      <c r="D3" s="1519" t="s">
        <v>790</v>
      </c>
      <c r="E3" s="1522" t="s">
        <v>275</v>
      </c>
      <c r="F3" s="1523"/>
      <c r="G3" s="1523"/>
      <c r="H3" s="1523"/>
      <c r="I3" s="1524"/>
    </row>
    <row r="4" spans="1:9">
      <c r="A4" s="1517"/>
      <c r="B4" s="1520"/>
      <c r="C4" s="1520"/>
      <c r="D4" s="1520"/>
      <c r="E4" s="1516" t="s">
        <v>768</v>
      </c>
      <c r="F4" s="1516" t="s">
        <v>769</v>
      </c>
      <c r="G4" s="1516" t="s">
        <v>770</v>
      </c>
      <c r="H4" s="1516" t="s">
        <v>791</v>
      </c>
      <c r="I4" s="1516" t="s">
        <v>792</v>
      </c>
    </row>
    <row r="5" spans="1:9">
      <c r="A5" s="1518"/>
      <c r="B5" s="1521"/>
      <c r="C5" s="1521"/>
      <c r="D5" s="1521"/>
      <c r="E5" s="1518"/>
      <c r="F5" s="1518"/>
      <c r="G5" s="1518"/>
      <c r="H5" s="1518"/>
      <c r="I5" s="1518"/>
    </row>
    <row r="6" spans="1:9" ht="24.75" customHeight="1">
      <c r="A6" s="529" t="s">
        <v>793</v>
      </c>
      <c r="B6" s="1149">
        <v>742</v>
      </c>
      <c r="C6" s="1149">
        <v>2487</v>
      </c>
      <c r="D6" s="1149">
        <v>4089</v>
      </c>
      <c r="E6" s="1149">
        <v>9</v>
      </c>
      <c r="F6" s="1149">
        <v>909</v>
      </c>
      <c r="G6" s="1149">
        <v>2704</v>
      </c>
      <c r="H6" s="1149">
        <v>100</v>
      </c>
      <c r="I6" s="1149">
        <v>367</v>
      </c>
    </row>
    <row r="7" spans="1:9" ht="24.75" customHeight="1">
      <c r="A7" s="529" t="s">
        <v>794</v>
      </c>
      <c r="B7" s="1149">
        <v>850</v>
      </c>
      <c r="C7" s="1149">
        <v>2858</v>
      </c>
      <c r="D7" s="1149">
        <v>16628</v>
      </c>
      <c r="E7" s="1149">
        <v>47</v>
      </c>
      <c r="F7" s="1149">
        <v>3759</v>
      </c>
      <c r="G7" s="1149">
        <v>6402</v>
      </c>
      <c r="H7" s="1149">
        <v>2492</v>
      </c>
      <c r="I7" s="1149">
        <v>3928</v>
      </c>
    </row>
    <row r="8" spans="1:9" ht="24.75" customHeight="1">
      <c r="A8" s="529" t="s">
        <v>795</v>
      </c>
      <c r="B8" s="1149">
        <v>520</v>
      </c>
      <c r="C8" s="1149">
        <v>1854</v>
      </c>
      <c r="D8" s="1149">
        <v>21078</v>
      </c>
      <c r="E8" s="1149">
        <v>38</v>
      </c>
      <c r="F8" s="1149">
        <v>3876</v>
      </c>
      <c r="G8" s="1149">
        <v>4231</v>
      </c>
      <c r="H8" s="1149">
        <v>5878</v>
      </c>
      <c r="I8" s="1149">
        <v>7055</v>
      </c>
    </row>
    <row r="9" spans="1:9" ht="24.75" customHeight="1">
      <c r="A9" s="529" t="s">
        <v>796</v>
      </c>
      <c r="B9" s="1149">
        <v>872</v>
      </c>
      <c r="C9" s="1149">
        <v>3270</v>
      </c>
      <c r="D9" s="1149">
        <v>63992</v>
      </c>
      <c r="E9" s="1149">
        <v>186</v>
      </c>
      <c r="F9" s="1149">
        <v>10714</v>
      </c>
      <c r="G9" s="1149">
        <v>10271</v>
      </c>
      <c r="H9" s="1149">
        <v>20263</v>
      </c>
      <c r="I9" s="1149">
        <v>22558</v>
      </c>
    </row>
    <row r="10" spans="1:9" ht="24.75" customHeight="1">
      <c r="A10" s="529" t="s">
        <v>797</v>
      </c>
      <c r="B10" s="1149">
        <v>1037</v>
      </c>
      <c r="C10" s="1149">
        <v>3985</v>
      </c>
      <c r="D10" s="1149">
        <v>150536</v>
      </c>
      <c r="E10" s="1149">
        <v>399</v>
      </c>
      <c r="F10" s="1149">
        <v>21208</v>
      </c>
      <c r="G10" s="1149">
        <v>17966</v>
      </c>
      <c r="H10" s="1149">
        <v>56585</v>
      </c>
      <c r="I10" s="1149">
        <v>54378</v>
      </c>
    </row>
    <row r="11" spans="1:9" ht="24.75" customHeight="1">
      <c r="A11" s="529" t="s">
        <v>798</v>
      </c>
      <c r="B11" s="1149">
        <v>1173</v>
      </c>
      <c r="C11" s="1149">
        <v>4440</v>
      </c>
      <c r="D11" s="1149">
        <v>370414</v>
      </c>
      <c r="E11" s="1149">
        <v>1556</v>
      </c>
      <c r="F11" s="1149">
        <v>43688</v>
      </c>
      <c r="G11" s="1149">
        <v>32850</v>
      </c>
      <c r="H11" s="1149">
        <v>172311</v>
      </c>
      <c r="I11" s="1149">
        <v>120009</v>
      </c>
    </row>
    <row r="12" spans="1:9" ht="24.75" customHeight="1">
      <c r="A12" s="529" t="s">
        <v>799</v>
      </c>
      <c r="B12" s="1149">
        <v>486</v>
      </c>
      <c r="C12" s="1149">
        <v>1976</v>
      </c>
      <c r="D12" s="1149">
        <v>330042</v>
      </c>
      <c r="E12" s="1149">
        <v>1463</v>
      </c>
      <c r="F12" s="1149">
        <v>37190</v>
      </c>
      <c r="G12" s="1149">
        <v>25811</v>
      </c>
      <c r="H12" s="1149">
        <v>178343</v>
      </c>
      <c r="I12" s="1149">
        <v>87235</v>
      </c>
    </row>
    <row r="13" spans="1:9" ht="24.75" customHeight="1">
      <c r="A13" s="529" t="s">
        <v>800</v>
      </c>
      <c r="B13" s="1149">
        <v>99</v>
      </c>
      <c r="C13" s="1149">
        <v>384</v>
      </c>
      <c r="D13" s="1149">
        <v>115998</v>
      </c>
      <c r="E13" s="1149">
        <v>612</v>
      </c>
      <c r="F13" s="1149">
        <v>14293</v>
      </c>
      <c r="G13" s="1149">
        <v>8692</v>
      </c>
      <c r="H13" s="1149">
        <v>64766</v>
      </c>
      <c r="I13" s="1149">
        <v>27635</v>
      </c>
    </row>
    <row r="14" spans="1:9" ht="24.75" customHeight="1">
      <c r="A14" s="529" t="s">
        <v>801</v>
      </c>
      <c r="B14" s="1149">
        <v>28</v>
      </c>
      <c r="C14" s="1149">
        <v>113</v>
      </c>
      <c r="D14" s="1149">
        <v>47050</v>
      </c>
      <c r="E14" s="1149">
        <v>277</v>
      </c>
      <c r="F14" s="1149">
        <v>5227</v>
      </c>
      <c r="G14" s="1149">
        <v>3075</v>
      </c>
      <c r="H14" s="1149">
        <v>28359</v>
      </c>
      <c r="I14" s="1149">
        <v>10112</v>
      </c>
    </row>
    <row r="15" spans="1:9" ht="24.75" customHeight="1">
      <c r="A15" s="529" t="s">
        <v>802</v>
      </c>
      <c r="B15" s="1149">
        <v>12</v>
      </c>
      <c r="C15" s="1149">
        <v>51</v>
      </c>
      <c r="D15" s="1149">
        <v>36509</v>
      </c>
      <c r="E15" s="1149">
        <v>295</v>
      </c>
      <c r="F15" s="1149">
        <v>5505</v>
      </c>
      <c r="G15" s="1149">
        <v>2449</v>
      </c>
      <c r="H15" s="1149">
        <v>20995</v>
      </c>
      <c r="I15" s="1149">
        <v>7265</v>
      </c>
    </row>
    <row r="16" spans="1:9" ht="24.75" customHeight="1">
      <c r="A16" s="529" t="s">
        <v>269</v>
      </c>
      <c r="B16" s="530">
        <f t="shared" ref="B16:I16" si="0">SUM(B6:B15)</f>
        <v>5819</v>
      </c>
      <c r="C16" s="530">
        <f t="shared" si="0"/>
        <v>21418</v>
      </c>
      <c r="D16" s="530">
        <f t="shared" si="0"/>
        <v>1156336</v>
      </c>
      <c r="E16" s="530">
        <f t="shared" si="0"/>
        <v>4882</v>
      </c>
      <c r="F16" s="530">
        <f t="shared" si="0"/>
        <v>146369</v>
      </c>
      <c r="G16" s="530">
        <f t="shared" si="0"/>
        <v>114451</v>
      </c>
      <c r="H16" s="530">
        <f t="shared" si="0"/>
        <v>550092</v>
      </c>
      <c r="I16" s="530">
        <f t="shared" si="0"/>
        <v>340542</v>
      </c>
    </row>
    <row r="17" spans="1:9">
      <c r="A17" s="368"/>
      <c r="B17" s="369"/>
      <c r="C17" s="369"/>
      <c r="D17" s="369"/>
      <c r="E17" s="369"/>
      <c r="F17" s="369"/>
      <c r="G17" s="369"/>
      <c r="H17" s="369"/>
      <c r="I17" s="369"/>
    </row>
    <row r="25" spans="1:9">
      <c r="A25" s="1514"/>
      <c r="B25" s="1514"/>
      <c r="C25" s="1514"/>
      <c r="D25" s="1514"/>
      <c r="E25" s="1514"/>
      <c r="F25" s="1514"/>
      <c r="G25" s="1514"/>
      <c r="H25" s="1514"/>
      <c r="I25" s="1514"/>
    </row>
    <row r="44" spans="1:9">
      <c r="A44" s="1514">
        <v>33</v>
      </c>
      <c r="B44" s="1514"/>
      <c r="C44" s="1514"/>
      <c r="D44" s="1514"/>
      <c r="E44" s="1514"/>
      <c r="F44" s="1514"/>
      <c r="G44" s="1514"/>
      <c r="H44" s="1514"/>
      <c r="I44" s="1514"/>
    </row>
  </sheetData>
  <mergeCells count="13">
    <mergeCell ref="A44:I44"/>
    <mergeCell ref="A1:I1"/>
    <mergeCell ref="A3:A5"/>
    <mergeCell ref="B3:B5"/>
    <mergeCell ref="C3:C5"/>
    <mergeCell ref="D3:D5"/>
    <mergeCell ref="E3:I3"/>
    <mergeCell ref="E4:E5"/>
    <mergeCell ref="F4:F5"/>
    <mergeCell ref="G4:G5"/>
    <mergeCell ref="H4:H5"/>
    <mergeCell ref="I4:I5"/>
    <mergeCell ref="A25:I25"/>
  </mergeCells>
  <pageMargins left="0.7" right="0.28000000000000003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L90"/>
  <sheetViews>
    <sheetView topLeftCell="P16" workbookViewId="0">
      <selection activeCell="B13" sqref="B13"/>
    </sheetView>
  </sheetViews>
  <sheetFormatPr defaultRowHeight="12.75"/>
  <cols>
    <col min="1" max="1" width="13.42578125" style="279" customWidth="1"/>
    <col min="2" max="3" width="9.140625" style="279"/>
    <col min="4" max="7" width="6.7109375" style="279" customWidth="1"/>
    <col min="8" max="12" width="7.28515625" style="279" customWidth="1"/>
    <col min="13" max="13" width="6.140625" style="279" customWidth="1"/>
    <col min="14" max="14" width="8.5703125" style="279" customWidth="1"/>
    <col min="15" max="15" width="7.5703125" style="279" customWidth="1"/>
    <col min="16" max="16" width="6.42578125" style="279" customWidth="1"/>
    <col min="17" max="19" width="7.5703125" style="279" customWidth="1"/>
    <col min="20" max="20" width="13.28515625" style="279" customWidth="1"/>
    <col min="21" max="21" width="7.85546875" style="279" customWidth="1"/>
    <col min="22" max="22" width="8" style="279" customWidth="1"/>
    <col min="23" max="23" width="7.42578125" style="279" customWidth="1"/>
    <col min="24" max="38" width="7.28515625" style="279" customWidth="1"/>
    <col min="39" max="16384" width="9.140625" style="279"/>
  </cols>
  <sheetData>
    <row r="1" spans="1:38">
      <c r="A1" s="1537" t="s">
        <v>1214</v>
      </c>
      <c r="B1" s="1538"/>
      <c r="C1" s="1538"/>
      <c r="D1" s="1538"/>
      <c r="E1" s="1538"/>
      <c r="F1" s="1538"/>
      <c r="G1" s="1538"/>
      <c r="H1" s="1538"/>
      <c r="I1" s="1538"/>
      <c r="J1" s="1538"/>
      <c r="K1" s="1538"/>
      <c r="L1" s="1538"/>
      <c r="M1" s="1538"/>
      <c r="N1" s="1538"/>
      <c r="O1" s="1538"/>
      <c r="P1" s="1538"/>
      <c r="Q1" s="1538"/>
      <c r="R1" s="1538"/>
      <c r="S1" s="1538"/>
      <c r="T1" s="1539" t="s">
        <v>2295</v>
      </c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</row>
    <row r="2" spans="1:38">
      <c r="A2" s="682" t="s">
        <v>1486</v>
      </c>
      <c r="B2" s="683"/>
      <c r="C2" s="683"/>
      <c r="D2" s="683"/>
      <c r="E2" s="683"/>
      <c r="F2" s="683"/>
      <c r="G2" s="683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</row>
    <row r="3" spans="1:38" ht="12.75" customHeight="1">
      <c r="A3" s="1540"/>
      <c r="B3" s="1526" t="s">
        <v>294</v>
      </c>
      <c r="C3" s="1526"/>
      <c r="D3" s="1526"/>
      <c r="E3" s="1527" t="s">
        <v>275</v>
      </c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  <c r="Q3" s="1527"/>
      <c r="R3" s="1527"/>
      <c r="S3" s="1527"/>
      <c r="T3" s="1525"/>
      <c r="U3" s="1526" t="s">
        <v>294</v>
      </c>
      <c r="V3" s="1526"/>
      <c r="W3" s="1526"/>
      <c r="X3" s="1527" t="s">
        <v>275</v>
      </c>
      <c r="Y3" s="1527"/>
      <c r="Z3" s="1527"/>
      <c r="AA3" s="1527"/>
      <c r="AB3" s="1527"/>
      <c r="AC3" s="1527"/>
      <c r="AD3" s="1527"/>
      <c r="AE3" s="1527"/>
      <c r="AF3" s="1527"/>
      <c r="AG3" s="1527"/>
      <c r="AH3" s="1527"/>
      <c r="AI3" s="1527"/>
      <c r="AJ3" s="1527"/>
      <c r="AK3" s="1527"/>
      <c r="AL3" s="1527"/>
    </row>
    <row r="4" spans="1:38" ht="12.75" customHeight="1">
      <c r="A4" s="1540"/>
      <c r="B4" s="1526"/>
      <c r="C4" s="1526"/>
      <c r="D4" s="1526"/>
      <c r="E4" s="1526" t="s">
        <v>768</v>
      </c>
      <c r="F4" s="1526"/>
      <c r="G4" s="1529"/>
      <c r="H4" s="1526" t="s">
        <v>769</v>
      </c>
      <c r="I4" s="1526"/>
      <c r="J4" s="1529"/>
      <c r="K4" s="1526" t="s">
        <v>770</v>
      </c>
      <c r="L4" s="1526"/>
      <c r="M4" s="1529"/>
      <c r="N4" s="1526" t="s">
        <v>791</v>
      </c>
      <c r="O4" s="1526"/>
      <c r="P4" s="1529"/>
      <c r="Q4" s="1526" t="s">
        <v>792</v>
      </c>
      <c r="R4" s="1526"/>
      <c r="S4" s="1526"/>
      <c r="T4" s="1525"/>
      <c r="U4" s="1526"/>
      <c r="V4" s="1526"/>
      <c r="W4" s="1526"/>
      <c r="X4" s="1526" t="s">
        <v>768</v>
      </c>
      <c r="Y4" s="1526"/>
      <c r="Z4" s="1526"/>
      <c r="AA4" s="1526" t="s">
        <v>769</v>
      </c>
      <c r="AB4" s="1526"/>
      <c r="AC4" s="1526"/>
      <c r="AD4" s="1526" t="s">
        <v>770</v>
      </c>
      <c r="AE4" s="1526"/>
      <c r="AF4" s="1526"/>
      <c r="AG4" s="1526" t="s">
        <v>791</v>
      </c>
      <c r="AH4" s="1526"/>
      <c r="AI4" s="1526"/>
      <c r="AJ4" s="1526" t="s">
        <v>792</v>
      </c>
      <c r="AK4" s="1526"/>
      <c r="AL4" s="1526"/>
    </row>
    <row r="5" spans="1:38" ht="12.75" customHeight="1">
      <c r="A5" s="1540"/>
      <c r="B5" s="1526">
        <v>2011</v>
      </c>
      <c r="C5" s="1526">
        <v>2012</v>
      </c>
      <c r="D5" s="1541" t="s">
        <v>803</v>
      </c>
      <c r="E5" s="1526">
        <v>2011</v>
      </c>
      <c r="F5" s="1526">
        <v>2012</v>
      </c>
      <c r="G5" s="1541" t="s">
        <v>803</v>
      </c>
      <c r="H5" s="1526">
        <v>2011</v>
      </c>
      <c r="I5" s="1526">
        <v>2012</v>
      </c>
      <c r="J5" s="1541" t="s">
        <v>803</v>
      </c>
      <c r="K5" s="1526">
        <v>2011</v>
      </c>
      <c r="L5" s="1526">
        <v>2012</v>
      </c>
      <c r="M5" s="1541" t="s">
        <v>804</v>
      </c>
      <c r="N5" s="1526">
        <v>2011</v>
      </c>
      <c r="O5" s="1526">
        <v>2012</v>
      </c>
      <c r="P5" s="1541" t="s">
        <v>803</v>
      </c>
      <c r="Q5" s="1526">
        <v>2011</v>
      </c>
      <c r="R5" s="1526">
        <v>2012</v>
      </c>
      <c r="S5" s="1541" t="s">
        <v>803</v>
      </c>
      <c r="T5" s="1525"/>
      <c r="U5" s="1526">
        <v>2011</v>
      </c>
      <c r="V5" s="1526">
        <v>2012</v>
      </c>
      <c r="W5" s="1543" t="s">
        <v>803</v>
      </c>
      <c r="X5" s="1526">
        <v>2011</v>
      </c>
      <c r="Y5" s="1526">
        <v>2012</v>
      </c>
      <c r="Z5" s="1543" t="s">
        <v>803</v>
      </c>
      <c r="AA5" s="1526">
        <v>2011</v>
      </c>
      <c r="AB5" s="1526">
        <v>2012</v>
      </c>
      <c r="AC5" s="1543" t="s">
        <v>803</v>
      </c>
      <c r="AD5" s="1526">
        <v>2011</v>
      </c>
      <c r="AE5" s="1526">
        <v>2012</v>
      </c>
      <c r="AF5" s="1543" t="s">
        <v>803</v>
      </c>
      <c r="AG5" s="1526">
        <v>2011</v>
      </c>
      <c r="AH5" s="1526">
        <v>2012</v>
      </c>
      <c r="AI5" s="1543" t="s">
        <v>803</v>
      </c>
      <c r="AJ5" s="1526">
        <v>2011</v>
      </c>
      <c r="AK5" s="1526">
        <v>2012</v>
      </c>
      <c r="AL5" s="1543" t="s">
        <v>803</v>
      </c>
    </row>
    <row r="6" spans="1:38" ht="34.5" customHeight="1">
      <c r="A6" s="1540"/>
      <c r="B6" s="1526"/>
      <c r="C6" s="1526"/>
      <c r="D6" s="1542"/>
      <c r="E6" s="1526"/>
      <c r="F6" s="1526"/>
      <c r="G6" s="1542"/>
      <c r="H6" s="1526"/>
      <c r="I6" s="1526"/>
      <c r="J6" s="1542"/>
      <c r="K6" s="1526"/>
      <c r="L6" s="1526"/>
      <c r="M6" s="1542"/>
      <c r="N6" s="1526"/>
      <c r="O6" s="1526"/>
      <c r="P6" s="1542"/>
      <c r="Q6" s="1526"/>
      <c r="R6" s="1526"/>
      <c r="S6" s="1542"/>
      <c r="T6" s="1525"/>
      <c r="U6" s="1526"/>
      <c r="V6" s="1526"/>
      <c r="W6" s="1544"/>
      <c r="X6" s="1526"/>
      <c r="Y6" s="1526"/>
      <c r="Z6" s="1544"/>
      <c r="AA6" s="1526"/>
      <c r="AB6" s="1526"/>
      <c r="AC6" s="1544"/>
      <c r="AD6" s="1526"/>
      <c r="AE6" s="1526"/>
      <c r="AF6" s="1544"/>
      <c r="AG6" s="1526"/>
      <c r="AH6" s="1526"/>
      <c r="AI6" s="1544"/>
      <c r="AJ6" s="1526"/>
      <c r="AK6" s="1526"/>
      <c r="AL6" s="1544"/>
    </row>
    <row r="7" spans="1:38">
      <c r="A7" s="686" t="s">
        <v>280</v>
      </c>
      <c r="B7" s="676">
        <f t="shared" ref="B7:C20" si="0">SUM(E7+H7+K7+N7+Q7)</f>
        <v>113090</v>
      </c>
      <c r="C7" s="677">
        <f t="shared" si="0"/>
        <v>111491</v>
      </c>
      <c r="D7" s="676">
        <f t="shared" ref="D7:D21" si="1">(C7-B7)</f>
        <v>-1599</v>
      </c>
      <c r="E7" s="676">
        <v>147</v>
      </c>
      <c r="F7" s="676">
        <v>145</v>
      </c>
      <c r="G7" s="676">
        <f t="shared" ref="G7:G21" si="2">(F7-E7)</f>
        <v>-2</v>
      </c>
      <c r="H7" s="676">
        <v>7894</v>
      </c>
      <c r="I7" s="676">
        <v>7646</v>
      </c>
      <c r="J7" s="676">
        <f t="shared" ref="J7:J21" si="3">(I7-H7)</f>
        <v>-248</v>
      </c>
      <c r="K7" s="676">
        <v>10343</v>
      </c>
      <c r="L7" s="676">
        <v>10432</v>
      </c>
      <c r="M7" s="676">
        <f t="shared" ref="M7:M21" si="4">(L7-K7)</f>
        <v>89</v>
      </c>
      <c r="N7" s="676">
        <v>63868</v>
      </c>
      <c r="O7" s="676">
        <v>64179</v>
      </c>
      <c r="P7" s="676">
        <f t="shared" ref="P7:P21" si="5">(O7-N7)</f>
        <v>311</v>
      </c>
      <c r="Q7" s="676">
        <v>30838</v>
      </c>
      <c r="R7" s="676">
        <v>29089</v>
      </c>
      <c r="S7" s="676">
        <f t="shared" ref="S7:S21" si="6">(R7-Q7)</f>
        <v>-1749</v>
      </c>
      <c r="T7" s="689" t="s">
        <v>280</v>
      </c>
      <c r="U7" s="681">
        <f t="shared" ref="U7:V20" si="7">SUM(X7+AA7+AD7+AG7+AJ7)</f>
        <v>112699</v>
      </c>
      <c r="V7" s="681">
        <f t="shared" si="7"/>
        <v>109800</v>
      </c>
      <c r="W7" s="681">
        <f t="shared" ref="W7:W21" si="8">(V7-U7)</f>
        <v>-2899</v>
      </c>
      <c r="X7" s="679">
        <v>147</v>
      </c>
      <c r="Y7" s="679">
        <v>145</v>
      </c>
      <c r="Z7" s="681">
        <f t="shared" ref="Z7:Z21" si="9">(Y7-X7)</f>
        <v>-2</v>
      </c>
      <c r="AA7" s="679">
        <v>7892</v>
      </c>
      <c r="AB7" s="679">
        <v>7510</v>
      </c>
      <c r="AC7" s="681">
        <f t="shared" ref="AC7:AC21" si="10">(AB7-AA7)</f>
        <v>-382</v>
      </c>
      <c r="AD7" s="679">
        <v>10311</v>
      </c>
      <c r="AE7" s="679">
        <v>10318</v>
      </c>
      <c r="AF7" s="681">
        <f t="shared" ref="AF7:AF21" si="11">(AE7-AD7)</f>
        <v>7</v>
      </c>
      <c r="AG7" s="679">
        <v>63521</v>
      </c>
      <c r="AH7" s="679">
        <v>63041</v>
      </c>
      <c r="AI7" s="681">
        <f t="shared" ref="AI7:AI21" si="12">(AH7-AG7)</f>
        <v>-480</v>
      </c>
      <c r="AJ7" s="679">
        <v>30828</v>
      </c>
      <c r="AK7" s="679">
        <v>28786</v>
      </c>
      <c r="AL7" s="681">
        <f t="shared" ref="AL7:AL21" si="13">(AK7-AJ7)</f>
        <v>-2042</v>
      </c>
    </row>
    <row r="8" spans="1:38">
      <c r="A8" s="686" t="s">
        <v>281</v>
      </c>
      <c r="B8" s="676">
        <f t="shared" si="0"/>
        <v>78015</v>
      </c>
      <c r="C8" s="677">
        <f t="shared" si="0"/>
        <v>82942</v>
      </c>
      <c r="D8" s="676">
        <f t="shared" si="1"/>
        <v>4927</v>
      </c>
      <c r="E8" s="676">
        <v>691</v>
      </c>
      <c r="F8" s="676">
        <v>634</v>
      </c>
      <c r="G8" s="676">
        <f t="shared" si="2"/>
        <v>-57</v>
      </c>
      <c r="H8" s="676">
        <v>11348</v>
      </c>
      <c r="I8" s="676">
        <v>12457</v>
      </c>
      <c r="J8" s="676">
        <f t="shared" si="3"/>
        <v>1109</v>
      </c>
      <c r="K8" s="676">
        <v>6815</v>
      </c>
      <c r="L8" s="676">
        <v>7649</v>
      </c>
      <c r="M8" s="676">
        <f t="shared" si="4"/>
        <v>834</v>
      </c>
      <c r="N8" s="676">
        <v>36760</v>
      </c>
      <c r="O8" s="676">
        <v>37676</v>
      </c>
      <c r="P8" s="676">
        <f t="shared" si="5"/>
        <v>916</v>
      </c>
      <c r="Q8" s="676">
        <v>22401</v>
      </c>
      <c r="R8" s="676">
        <v>24526</v>
      </c>
      <c r="S8" s="676">
        <f t="shared" si="6"/>
        <v>2125</v>
      </c>
      <c r="T8" s="690" t="s">
        <v>281</v>
      </c>
      <c r="U8" s="681">
        <f t="shared" si="7"/>
        <v>71137</v>
      </c>
      <c r="V8" s="681">
        <f t="shared" si="7"/>
        <v>76924</v>
      </c>
      <c r="W8" s="681">
        <f t="shared" si="8"/>
        <v>5787</v>
      </c>
      <c r="X8" s="679">
        <v>665</v>
      </c>
      <c r="Y8" s="679">
        <v>609</v>
      </c>
      <c r="Z8" s="681">
        <f t="shared" si="9"/>
        <v>-56</v>
      </c>
      <c r="AA8" s="679">
        <v>10691</v>
      </c>
      <c r="AB8" s="679">
        <v>11819</v>
      </c>
      <c r="AC8" s="681">
        <f t="shared" si="10"/>
        <v>1128</v>
      </c>
      <c r="AD8" s="679">
        <v>6365</v>
      </c>
      <c r="AE8" s="679">
        <v>7212</v>
      </c>
      <c r="AF8" s="681">
        <f t="shared" si="11"/>
        <v>847</v>
      </c>
      <c r="AG8" s="679">
        <v>32182</v>
      </c>
      <c r="AH8" s="679">
        <v>33667</v>
      </c>
      <c r="AI8" s="681">
        <f t="shared" si="12"/>
        <v>1485</v>
      </c>
      <c r="AJ8" s="679">
        <v>21234</v>
      </c>
      <c r="AK8" s="679">
        <v>23617</v>
      </c>
      <c r="AL8" s="681">
        <f t="shared" si="13"/>
        <v>2383</v>
      </c>
    </row>
    <row r="9" spans="1:38">
      <c r="A9" s="686" t="s">
        <v>282</v>
      </c>
      <c r="B9" s="676">
        <f t="shared" si="0"/>
        <v>70107</v>
      </c>
      <c r="C9" s="677">
        <f t="shared" si="0"/>
        <v>74805</v>
      </c>
      <c r="D9" s="676">
        <f t="shared" si="1"/>
        <v>4698</v>
      </c>
      <c r="E9" s="676">
        <v>388</v>
      </c>
      <c r="F9" s="676">
        <v>358</v>
      </c>
      <c r="G9" s="676">
        <f t="shared" si="2"/>
        <v>-30</v>
      </c>
      <c r="H9" s="676">
        <v>10094</v>
      </c>
      <c r="I9" s="676">
        <v>11174</v>
      </c>
      <c r="J9" s="676">
        <f t="shared" si="3"/>
        <v>1080</v>
      </c>
      <c r="K9" s="676">
        <v>5360</v>
      </c>
      <c r="L9" s="676">
        <v>6210</v>
      </c>
      <c r="M9" s="676">
        <f t="shared" si="4"/>
        <v>850</v>
      </c>
      <c r="N9" s="676">
        <v>33164</v>
      </c>
      <c r="O9" s="676">
        <v>34199</v>
      </c>
      <c r="P9" s="676">
        <f t="shared" si="5"/>
        <v>1035</v>
      </c>
      <c r="Q9" s="676">
        <v>21101</v>
      </c>
      <c r="R9" s="676">
        <v>22864</v>
      </c>
      <c r="S9" s="676">
        <f t="shared" si="6"/>
        <v>1763</v>
      </c>
      <c r="T9" s="690" t="s">
        <v>282</v>
      </c>
      <c r="U9" s="681">
        <f t="shared" si="7"/>
        <v>67718</v>
      </c>
      <c r="V9" s="681">
        <f t="shared" si="7"/>
        <v>73267</v>
      </c>
      <c r="W9" s="681">
        <f t="shared" si="8"/>
        <v>5549</v>
      </c>
      <c r="X9" s="679">
        <v>314</v>
      </c>
      <c r="Y9" s="679">
        <v>288</v>
      </c>
      <c r="Z9" s="681">
        <f t="shared" si="9"/>
        <v>-26</v>
      </c>
      <c r="AA9" s="679">
        <v>10052</v>
      </c>
      <c r="AB9" s="679">
        <v>11137</v>
      </c>
      <c r="AC9" s="681">
        <f t="shared" si="10"/>
        <v>1085</v>
      </c>
      <c r="AD9" s="679">
        <v>4970</v>
      </c>
      <c r="AE9" s="679">
        <v>5816</v>
      </c>
      <c r="AF9" s="681">
        <f t="shared" si="11"/>
        <v>846</v>
      </c>
      <c r="AG9" s="679">
        <v>31370</v>
      </c>
      <c r="AH9" s="679">
        <v>33261</v>
      </c>
      <c r="AI9" s="681">
        <f t="shared" si="12"/>
        <v>1891</v>
      </c>
      <c r="AJ9" s="679">
        <v>21012</v>
      </c>
      <c r="AK9" s="679">
        <v>22765</v>
      </c>
      <c r="AL9" s="681">
        <f t="shared" si="13"/>
        <v>1753</v>
      </c>
    </row>
    <row r="10" spans="1:38">
      <c r="A10" s="686" t="s">
        <v>283</v>
      </c>
      <c r="B10" s="676">
        <f t="shared" si="0"/>
        <v>62711</v>
      </c>
      <c r="C10" s="677">
        <f t="shared" si="0"/>
        <v>70728</v>
      </c>
      <c r="D10" s="676">
        <f t="shared" si="1"/>
        <v>8017</v>
      </c>
      <c r="E10" s="677">
        <v>246</v>
      </c>
      <c r="F10" s="677">
        <v>198</v>
      </c>
      <c r="G10" s="676">
        <f t="shared" si="2"/>
        <v>-48</v>
      </c>
      <c r="H10" s="676">
        <v>8903</v>
      </c>
      <c r="I10" s="676">
        <v>9490</v>
      </c>
      <c r="J10" s="676">
        <f t="shared" si="3"/>
        <v>587</v>
      </c>
      <c r="K10" s="676">
        <v>4998</v>
      </c>
      <c r="L10" s="676">
        <v>5578</v>
      </c>
      <c r="M10" s="676">
        <f t="shared" si="4"/>
        <v>580</v>
      </c>
      <c r="N10" s="676">
        <v>28524</v>
      </c>
      <c r="O10" s="676">
        <v>32786</v>
      </c>
      <c r="P10" s="676">
        <f t="shared" si="5"/>
        <v>4262</v>
      </c>
      <c r="Q10" s="676">
        <v>20040</v>
      </c>
      <c r="R10" s="676">
        <v>22676</v>
      </c>
      <c r="S10" s="676">
        <f t="shared" si="6"/>
        <v>2636</v>
      </c>
      <c r="T10" s="690" t="s">
        <v>283</v>
      </c>
      <c r="U10" s="681">
        <f t="shared" si="7"/>
        <v>62376</v>
      </c>
      <c r="V10" s="681">
        <f t="shared" si="7"/>
        <v>69720</v>
      </c>
      <c r="W10" s="681">
        <f t="shared" si="8"/>
        <v>7344</v>
      </c>
      <c r="X10" s="679">
        <v>246</v>
      </c>
      <c r="Y10" s="679">
        <v>198</v>
      </c>
      <c r="Z10" s="681">
        <f t="shared" si="9"/>
        <v>-48</v>
      </c>
      <c r="AA10" s="679">
        <v>8903</v>
      </c>
      <c r="AB10" s="679">
        <v>9490</v>
      </c>
      <c r="AC10" s="681">
        <f t="shared" si="10"/>
        <v>587</v>
      </c>
      <c r="AD10" s="679">
        <v>4998</v>
      </c>
      <c r="AE10" s="679">
        <v>5578</v>
      </c>
      <c r="AF10" s="681">
        <f t="shared" si="11"/>
        <v>580</v>
      </c>
      <c r="AG10" s="679">
        <v>28267</v>
      </c>
      <c r="AH10" s="679">
        <v>31862</v>
      </c>
      <c r="AI10" s="681">
        <f t="shared" si="12"/>
        <v>3595</v>
      </c>
      <c r="AJ10" s="679">
        <v>19962</v>
      </c>
      <c r="AK10" s="679">
        <v>22592</v>
      </c>
      <c r="AL10" s="681">
        <f t="shared" si="13"/>
        <v>2630</v>
      </c>
    </row>
    <row r="11" spans="1:38">
      <c r="A11" s="686" t="s">
        <v>284</v>
      </c>
      <c r="B11" s="676">
        <f t="shared" si="0"/>
        <v>164446</v>
      </c>
      <c r="C11" s="677">
        <f t="shared" si="0"/>
        <v>158129</v>
      </c>
      <c r="D11" s="676">
        <f t="shared" si="1"/>
        <v>-6317</v>
      </c>
      <c r="E11" s="676">
        <v>612</v>
      </c>
      <c r="F11" s="676">
        <v>525</v>
      </c>
      <c r="G11" s="676">
        <f t="shared" si="2"/>
        <v>-87</v>
      </c>
      <c r="H11" s="676">
        <v>15587</v>
      </c>
      <c r="I11" s="676">
        <v>15537</v>
      </c>
      <c r="J11" s="676">
        <f t="shared" si="3"/>
        <v>-50</v>
      </c>
      <c r="K11" s="676">
        <v>11579</v>
      </c>
      <c r="L11" s="676">
        <v>11772</v>
      </c>
      <c r="M11" s="676">
        <f t="shared" si="4"/>
        <v>193</v>
      </c>
      <c r="N11" s="676">
        <v>90762</v>
      </c>
      <c r="O11" s="676">
        <v>87609</v>
      </c>
      <c r="P11" s="676">
        <f t="shared" si="5"/>
        <v>-3153</v>
      </c>
      <c r="Q11" s="676">
        <v>45906</v>
      </c>
      <c r="R11" s="676">
        <v>42686</v>
      </c>
      <c r="S11" s="676">
        <f t="shared" si="6"/>
        <v>-3220</v>
      </c>
      <c r="T11" s="690" t="s">
        <v>284</v>
      </c>
      <c r="U11" s="681">
        <f t="shared" si="7"/>
        <v>162509</v>
      </c>
      <c r="V11" s="681">
        <f t="shared" si="7"/>
        <v>156258</v>
      </c>
      <c r="W11" s="681">
        <f t="shared" si="8"/>
        <v>-6251</v>
      </c>
      <c r="X11" s="679">
        <v>612</v>
      </c>
      <c r="Y11" s="679">
        <v>525</v>
      </c>
      <c r="Z11" s="681">
        <f t="shared" si="9"/>
        <v>-87</v>
      </c>
      <c r="AA11" s="679">
        <v>15400</v>
      </c>
      <c r="AB11" s="679">
        <v>15382</v>
      </c>
      <c r="AC11" s="681">
        <f t="shared" si="10"/>
        <v>-18</v>
      </c>
      <c r="AD11" s="679">
        <v>11517</v>
      </c>
      <c r="AE11" s="679">
        <v>11727</v>
      </c>
      <c r="AF11" s="681">
        <f t="shared" si="11"/>
        <v>210</v>
      </c>
      <c r="AG11" s="679">
        <v>89519</v>
      </c>
      <c r="AH11" s="679">
        <v>86333</v>
      </c>
      <c r="AI11" s="681">
        <f t="shared" si="12"/>
        <v>-3186</v>
      </c>
      <c r="AJ11" s="679">
        <v>45461</v>
      </c>
      <c r="AK11" s="679">
        <v>42291</v>
      </c>
      <c r="AL11" s="681">
        <f t="shared" si="13"/>
        <v>-3170</v>
      </c>
    </row>
    <row r="12" spans="1:38">
      <c r="A12" s="686" t="s">
        <v>285</v>
      </c>
      <c r="B12" s="676">
        <f t="shared" si="0"/>
        <v>84858</v>
      </c>
      <c r="C12" s="677">
        <f t="shared" si="0"/>
        <v>86685</v>
      </c>
      <c r="D12" s="676">
        <f t="shared" si="1"/>
        <v>1827</v>
      </c>
      <c r="E12" s="676">
        <v>773</v>
      </c>
      <c r="F12" s="676">
        <v>638</v>
      </c>
      <c r="G12" s="676">
        <f t="shared" si="2"/>
        <v>-135</v>
      </c>
      <c r="H12" s="676">
        <v>14511</v>
      </c>
      <c r="I12" s="676">
        <v>15681</v>
      </c>
      <c r="J12" s="676">
        <f t="shared" si="3"/>
        <v>1170</v>
      </c>
      <c r="K12" s="676">
        <v>10844</v>
      </c>
      <c r="L12" s="676">
        <v>11693</v>
      </c>
      <c r="M12" s="676">
        <f t="shared" si="4"/>
        <v>849</v>
      </c>
      <c r="N12" s="676">
        <v>34790</v>
      </c>
      <c r="O12" s="676">
        <v>35455</v>
      </c>
      <c r="P12" s="676">
        <f t="shared" si="5"/>
        <v>665</v>
      </c>
      <c r="Q12" s="676">
        <v>23940</v>
      </c>
      <c r="R12" s="676">
        <v>23218</v>
      </c>
      <c r="S12" s="676">
        <f t="shared" si="6"/>
        <v>-722</v>
      </c>
      <c r="T12" s="690" t="s">
        <v>285</v>
      </c>
      <c r="U12" s="681">
        <f t="shared" si="7"/>
        <v>81169</v>
      </c>
      <c r="V12" s="681">
        <f t="shared" si="7"/>
        <v>83474</v>
      </c>
      <c r="W12" s="681">
        <f t="shared" si="8"/>
        <v>2305</v>
      </c>
      <c r="X12" s="679">
        <v>762</v>
      </c>
      <c r="Y12" s="679">
        <v>634</v>
      </c>
      <c r="Z12" s="681">
        <f t="shared" si="9"/>
        <v>-128</v>
      </c>
      <c r="AA12" s="679">
        <v>13828</v>
      </c>
      <c r="AB12" s="679">
        <v>15018</v>
      </c>
      <c r="AC12" s="681">
        <f t="shared" si="10"/>
        <v>1190</v>
      </c>
      <c r="AD12" s="679">
        <v>10288</v>
      </c>
      <c r="AE12" s="679">
        <v>11017</v>
      </c>
      <c r="AF12" s="681">
        <f t="shared" si="11"/>
        <v>729</v>
      </c>
      <c r="AG12" s="679">
        <v>32944</v>
      </c>
      <c r="AH12" s="679">
        <v>34063</v>
      </c>
      <c r="AI12" s="681">
        <f t="shared" si="12"/>
        <v>1119</v>
      </c>
      <c r="AJ12" s="679">
        <v>23347</v>
      </c>
      <c r="AK12" s="679">
        <v>22742</v>
      </c>
      <c r="AL12" s="681">
        <f t="shared" si="13"/>
        <v>-605</v>
      </c>
    </row>
    <row r="13" spans="1:38">
      <c r="A13" s="686" t="s">
        <v>286</v>
      </c>
      <c r="B13" s="676">
        <f t="shared" si="0"/>
        <v>61767</v>
      </c>
      <c r="C13" s="677">
        <f t="shared" si="0"/>
        <v>63724</v>
      </c>
      <c r="D13" s="676">
        <f t="shared" si="1"/>
        <v>1957</v>
      </c>
      <c r="E13" s="676">
        <v>436</v>
      </c>
      <c r="F13" s="676">
        <v>418</v>
      </c>
      <c r="G13" s="676">
        <f t="shared" si="2"/>
        <v>-18</v>
      </c>
      <c r="H13" s="676">
        <v>9783</v>
      </c>
      <c r="I13" s="676">
        <v>9502</v>
      </c>
      <c r="J13" s="676">
        <f t="shared" si="3"/>
        <v>-281</v>
      </c>
      <c r="K13" s="676">
        <v>12818</v>
      </c>
      <c r="L13" s="676">
        <v>13350</v>
      </c>
      <c r="M13" s="676">
        <f t="shared" si="4"/>
        <v>532</v>
      </c>
      <c r="N13" s="676">
        <v>25296</v>
      </c>
      <c r="O13" s="676">
        <v>26476</v>
      </c>
      <c r="P13" s="676">
        <f t="shared" si="5"/>
        <v>1180</v>
      </c>
      <c r="Q13" s="676">
        <v>13434</v>
      </c>
      <c r="R13" s="676">
        <v>13978</v>
      </c>
      <c r="S13" s="676">
        <f t="shared" si="6"/>
        <v>544</v>
      </c>
      <c r="T13" s="690" t="s">
        <v>286</v>
      </c>
      <c r="U13" s="681">
        <f t="shared" si="7"/>
        <v>50547</v>
      </c>
      <c r="V13" s="681">
        <f t="shared" si="7"/>
        <v>50765</v>
      </c>
      <c r="W13" s="681">
        <f t="shared" si="8"/>
        <v>218</v>
      </c>
      <c r="X13" s="679">
        <v>430</v>
      </c>
      <c r="Y13" s="679">
        <v>333</v>
      </c>
      <c r="Z13" s="681">
        <f t="shared" si="9"/>
        <v>-97</v>
      </c>
      <c r="AA13" s="679">
        <v>8942</v>
      </c>
      <c r="AB13" s="679">
        <v>8628</v>
      </c>
      <c r="AC13" s="681">
        <f t="shared" si="10"/>
        <v>-314</v>
      </c>
      <c r="AD13" s="679">
        <v>10689</v>
      </c>
      <c r="AE13" s="679">
        <v>10932</v>
      </c>
      <c r="AF13" s="681">
        <f t="shared" si="11"/>
        <v>243</v>
      </c>
      <c r="AG13" s="679">
        <v>18522</v>
      </c>
      <c r="AH13" s="679">
        <v>18465</v>
      </c>
      <c r="AI13" s="681">
        <f t="shared" si="12"/>
        <v>-57</v>
      </c>
      <c r="AJ13" s="679">
        <v>11964</v>
      </c>
      <c r="AK13" s="679">
        <v>12407</v>
      </c>
      <c r="AL13" s="681">
        <f t="shared" si="13"/>
        <v>443</v>
      </c>
    </row>
    <row r="14" spans="1:38">
      <c r="A14" s="686" t="s">
        <v>287</v>
      </c>
      <c r="B14" s="676">
        <f t="shared" si="0"/>
        <v>65985</v>
      </c>
      <c r="C14" s="677">
        <f t="shared" si="0"/>
        <v>72653</v>
      </c>
      <c r="D14" s="676">
        <f t="shared" si="1"/>
        <v>6668</v>
      </c>
      <c r="E14" s="676">
        <v>408</v>
      </c>
      <c r="F14" s="676">
        <v>395</v>
      </c>
      <c r="G14" s="676">
        <f t="shared" si="2"/>
        <v>-13</v>
      </c>
      <c r="H14" s="676">
        <v>9284</v>
      </c>
      <c r="I14" s="676">
        <v>10238</v>
      </c>
      <c r="J14" s="676">
        <f t="shared" si="3"/>
        <v>954</v>
      </c>
      <c r="K14" s="676">
        <v>5141</v>
      </c>
      <c r="L14" s="676">
        <v>5797</v>
      </c>
      <c r="M14" s="676">
        <f t="shared" si="4"/>
        <v>656</v>
      </c>
      <c r="N14" s="676">
        <v>34076</v>
      </c>
      <c r="O14" s="676">
        <v>37527</v>
      </c>
      <c r="P14" s="676">
        <f t="shared" si="5"/>
        <v>3451</v>
      </c>
      <c r="Q14" s="676">
        <v>17076</v>
      </c>
      <c r="R14" s="676">
        <v>18696</v>
      </c>
      <c r="S14" s="676">
        <f t="shared" si="6"/>
        <v>1620</v>
      </c>
      <c r="T14" s="690" t="s">
        <v>287</v>
      </c>
      <c r="U14" s="681">
        <f t="shared" si="7"/>
        <v>65415</v>
      </c>
      <c r="V14" s="681">
        <f t="shared" si="7"/>
        <v>72004</v>
      </c>
      <c r="W14" s="681">
        <f t="shared" si="8"/>
        <v>6589</v>
      </c>
      <c r="X14" s="679">
        <v>408</v>
      </c>
      <c r="Y14" s="679">
        <v>395</v>
      </c>
      <c r="Z14" s="681">
        <f t="shared" si="9"/>
        <v>-13</v>
      </c>
      <c r="AA14" s="679">
        <v>9281</v>
      </c>
      <c r="AB14" s="679">
        <v>10237</v>
      </c>
      <c r="AC14" s="681">
        <f t="shared" si="10"/>
        <v>956</v>
      </c>
      <c r="AD14" s="679">
        <v>5132</v>
      </c>
      <c r="AE14" s="679">
        <v>5784</v>
      </c>
      <c r="AF14" s="681">
        <f t="shared" si="11"/>
        <v>652</v>
      </c>
      <c r="AG14" s="679">
        <v>33680</v>
      </c>
      <c r="AH14" s="679">
        <v>37052</v>
      </c>
      <c r="AI14" s="681">
        <f t="shared" si="12"/>
        <v>3372</v>
      </c>
      <c r="AJ14" s="679">
        <v>16914</v>
      </c>
      <c r="AK14" s="679">
        <v>18536</v>
      </c>
      <c r="AL14" s="681">
        <f t="shared" si="13"/>
        <v>1622</v>
      </c>
    </row>
    <row r="15" spans="1:38">
      <c r="A15" s="686" t="s">
        <v>288</v>
      </c>
      <c r="B15" s="676">
        <f t="shared" si="0"/>
        <v>85089</v>
      </c>
      <c r="C15" s="677">
        <f t="shared" si="0"/>
        <v>93309</v>
      </c>
      <c r="D15" s="676">
        <f t="shared" si="1"/>
        <v>8220</v>
      </c>
      <c r="E15" s="676">
        <v>504</v>
      </c>
      <c r="F15" s="676">
        <v>477</v>
      </c>
      <c r="G15" s="676">
        <f t="shared" si="2"/>
        <v>-27</v>
      </c>
      <c r="H15" s="676">
        <v>12141</v>
      </c>
      <c r="I15" s="676">
        <v>12880</v>
      </c>
      <c r="J15" s="676">
        <f t="shared" si="3"/>
        <v>739</v>
      </c>
      <c r="K15" s="676">
        <v>4904</v>
      </c>
      <c r="L15" s="676">
        <v>5644</v>
      </c>
      <c r="M15" s="676">
        <f t="shared" si="4"/>
        <v>740</v>
      </c>
      <c r="N15" s="676">
        <v>46393</v>
      </c>
      <c r="O15" s="676">
        <v>49911</v>
      </c>
      <c r="P15" s="676">
        <f t="shared" si="5"/>
        <v>3518</v>
      </c>
      <c r="Q15" s="676">
        <v>21147</v>
      </c>
      <c r="R15" s="676">
        <v>24397</v>
      </c>
      <c r="S15" s="676">
        <f t="shared" si="6"/>
        <v>3250</v>
      </c>
      <c r="T15" s="690" t="s">
        <v>288</v>
      </c>
      <c r="U15" s="681">
        <f t="shared" si="7"/>
        <v>83286</v>
      </c>
      <c r="V15" s="681">
        <f t="shared" si="7"/>
        <v>91967</v>
      </c>
      <c r="W15" s="681">
        <f t="shared" si="8"/>
        <v>8681</v>
      </c>
      <c r="X15" s="679">
        <v>504</v>
      </c>
      <c r="Y15" s="679">
        <v>477</v>
      </c>
      <c r="Z15" s="681">
        <f t="shared" si="9"/>
        <v>-27</v>
      </c>
      <c r="AA15" s="679">
        <v>12136</v>
      </c>
      <c r="AB15" s="679">
        <v>12880</v>
      </c>
      <c r="AC15" s="681">
        <f t="shared" si="10"/>
        <v>744</v>
      </c>
      <c r="AD15" s="679">
        <v>4892</v>
      </c>
      <c r="AE15" s="679">
        <v>5638</v>
      </c>
      <c r="AF15" s="681">
        <f t="shared" si="11"/>
        <v>746</v>
      </c>
      <c r="AG15" s="679">
        <v>45059</v>
      </c>
      <c r="AH15" s="679">
        <v>48591</v>
      </c>
      <c r="AI15" s="681">
        <f t="shared" si="12"/>
        <v>3532</v>
      </c>
      <c r="AJ15" s="679">
        <v>20695</v>
      </c>
      <c r="AK15" s="679">
        <v>24381</v>
      </c>
      <c r="AL15" s="681">
        <f t="shared" si="13"/>
        <v>3686</v>
      </c>
    </row>
    <row r="16" spans="1:38">
      <c r="A16" s="686" t="s">
        <v>289</v>
      </c>
      <c r="B16" s="676">
        <f t="shared" si="0"/>
        <v>98253</v>
      </c>
      <c r="C16" s="677">
        <f t="shared" si="0"/>
        <v>112325</v>
      </c>
      <c r="D16" s="676">
        <f t="shared" si="1"/>
        <v>14072</v>
      </c>
      <c r="E16" s="676">
        <v>294</v>
      </c>
      <c r="F16" s="676">
        <v>318</v>
      </c>
      <c r="G16" s="676">
        <f t="shared" si="2"/>
        <v>24</v>
      </c>
      <c r="H16" s="676">
        <v>11631</v>
      </c>
      <c r="I16" s="676">
        <v>12516</v>
      </c>
      <c r="J16" s="676">
        <f t="shared" si="3"/>
        <v>885</v>
      </c>
      <c r="K16" s="676">
        <v>7504</v>
      </c>
      <c r="L16" s="676">
        <v>8928</v>
      </c>
      <c r="M16" s="676">
        <f t="shared" si="4"/>
        <v>1424</v>
      </c>
      <c r="N16" s="676">
        <v>46360</v>
      </c>
      <c r="O16" s="676">
        <v>54438</v>
      </c>
      <c r="P16" s="676">
        <f t="shared" si="5"/>
        <v>8078</v>
      </c>
      <c r="Q16" s="676">
        <v>32464</v>
      </c>
      <c r="R16" s="676">
        <v>36125</v>
      </c>
      <c r="S16" s="676">
        <f t="shared" si="6"/>
        <v>3661</v>
      </c>
      <c r="T16" s="690" t="s">
        <v>289</v>
      </c>
      <c r="U16" s="681">
        <f t="shared" si="7"/>
        <v>93237</v>
      </c>
      <c r="V16" s="681">
        <f t="shared" si="7"/>
        <v>106037</v>
      </c>
      <c r="W16" s="681">
        <f t="shared" si="8"/>
        <v>12800</v>
      </c>
      <c r="X16" s="679">
        <v>286</v>
      </c>
      <c r="Y16" s="679">
        <v>309</v>
      </c>
      <c r="Z16" s="681">
        <f t="shared" si="9"/>
        <v>23</v>
      </c>
      <c r="AA16" s="679">
        <v>11428</v>
      </c>
      <c r="AB16" s="679">
        <v>12298</v>
      </c>
      <c r="AC16" s="681">
        <f t="shared" si="10"/>
        <v>870</v>
      </c>
      <c r="AD16" s="679">
        <v>7447</v>
      </c>
      <c r="AE16" s="679">
        <v>8869</v>
      </c>
      <c r="AF16" s="681">
        <f t="shared" si="11"/>
        <v>1422</v>
      </c>
      <c r="AG16" s="679">
        <v>42188</v>
      </c>
      <c r="AH16" s="679">
        <v>49323</v>
      </c>
      <c r="AI16" s="681">
        <f t="shared" si="12"/>
        <v>7135</v>
      </c>
      <c r="AJ16" s="679">
        <v>31888</v>
      </c>
      <c r="AK16" s="679">
        <v>35238</v>
      </c>
      <c r="AL16" s="681">
        <f t="shared" si="13"/>
        <v>3350</v>
      </c>
    </row>
    <row r="17" spans="1:38">
      <c r="A17" s="686" t="s">
        <v>290</v>
      </c>
      <c r="B17" s="676">
        <f t="shared" si="0"/>
        <v>63233</v>
      </c>
      <c r="C17" s="677">
        <f t="shared" si="0"/>
        <v>68292</v>
      </c>
      <c r="D17" s="676">
        <f t="shared" si="1"/>
        <v>5059</v>
      </c>
      <c r="E17" s="676">
        <v>245</v>
      </c>
      <c r="F17" s="676">
        <v>214</v>
      </c>
      <c r="G17" s="676">
        <f t="shared" si="2"/>
        <v>-31</v>
      </c>
      <c r="H17" s="676">
        <v>7516</v>
      </c>
      <c r="I17" s="676">
        <v>7479</v>
      </c>
      <c r="J17" s="676">
        <f t="shared" si="3"/>
        <v>-37</v>
      </c>
      <c r="K17" s="676">
        <v>9810</v>
      </c>
      <c r="L17" s="676">
        <v>10764</v>
      </c>
      <c r="M17" s="676">
        <f t="shared" si="4"/>
        <v>954</v>
      </c>
      <c r="N17" s="676">
        <v>26521</v>
      </c>
      <c r="O17" s="676">
        <v>28875</v>
      </c>
      <c r="P17" s="676">
        <f t="shared" si="5"/>
        <v>2354</v>
      </c>
      <c r="Q17" s="676">
        <v>19141</v>
      </c>
      <c r="R17" s="676">
        <v>20960</v>
      </c>
      <c r="S17" s="676">
        <f t="shared" si="6"/>
        <v>1819</v>
      </c>
      <c r="T17" s="690" t="s">
        <v>290</v>
      </c>
      <c r="U17" s="681">
        <f t="shared" si="7"/>
        <v>63117</v>
      </c>
      <c r="V17" s="681">
        <f t="shared" si="7"/>
        <v>68233</v>
      </c>
      <c r="W17" s="681">
        <f t="shared" si="8"/>
        <v>5116</v>
      </c>
      <c r="X17" s="679">
        <v>245</v>
      </c>
      <c r="Y17" s="679">
        <v>214</v>
      </c>
      <c r="Z17" s="681">
        <f t="shared" si="9"/>
        <v>-31</v>
      </c>
      <c r="AA17" s="679">
        <v>7496</v>
      </c>
      <c r="AB17" s="679">
        <v>7460</v>
      </c>
      <c r="AC17" s="681">
        <f t="shared" si="10"/>
        <v>-36</v>
      </c>
      <c r="AD17" s="679">
        <v>9759</v>
      </c>
      <c r="AE17" s="679">
        <v>10734</v>
      </c>
      <c r="AF17" s="681">
        <f t="shared" si="11"/>
        <v>975</v>
      </c>
      <c r="AG17" s="679">
        <v>26491</v>
      </c>
      <c r="AH17" s="679">
        <v>28865</v>
      </c>
      <c r="AI17" s="681">
        <f t="shared" si="12"/>
        <v>2374</v>
      </c>
      <c r="AJ17" s="679">
        <v>19126</v>
      </c>
      <c r="AK17" s="679">
        <v>20960</v>
      </c>
      <c r="AL17" s="681">
        <f t="shared" si="13"/>
        <v>1834</v>
      </c>
    </row>
    <row r="18" spans="1:38">
      <c r="A18" s="686" t="s">
        <v>291</v>
      </c>
      <c r="B18" s="676">
        <f t="shared" si="0"/>
        <v>67107</v>
      </c>
      <c r="C18" s="677">
        <f t="shared" si="0"/>
        <v>67799</v>
      </c>
      <c r="D18" s="676">
        <f t="shared" si="1"/>
        <v>692</v>
      </c>
      <c r="E18" s="676">
        <v>410</v>
      </c>
      <c r="F18" s="676">
        <v>318</v>
      </c>
      <c r="G18" s="676">
        <f t="shared" si="2"/>
        <v>-92</v>
      </c>
      <c r="H18" s="676">
        <v>9094</v>
      </c>
      <c r="I18" s="676">
        <v>8778</v>
      </c>
      <c r="J18" s="676">
        <f t="shared" si="3"/>
        <v>-316</v>
      </c>
      <c r="K18" s="676">
        <v>5647</v>
      </c>
      <c r="L18" s="676">
        <v>6314</v>
      </c>
      <c r="M18" s="676">
        <f t="shared" si="4"/>
        <v>667</v>
      </c>
      <c r="N18" s="676">
        <v>29436</v>
      </c>
      <c r="O18" s="676">
        <v>30351</v>
      </c>
      <c r="P18" s="676">
        <f t="shared" si="5"/>
        <v>915</v>
      </c>
      <c r="Q18" s="676">
        <v>22520</v>
      </c>
      <c r="R18" s="676">
        <v>22038</v>
      </c>
      <c r="S18" s="676">
        <f t="shared" si="6"/>
        <v>-482</v>
      </c>
      <c r="T18" s="690" t="s">
        <v>291</v>
      </c>
      <c r="U18" s="681">
        <f t="shared" si="7"/>
        <v>64131</v>
      </c>
      <c r="V18" s="681">
        <f t="shared" si="7"/>
        <v>64060</v>
      </c>
      <c r="W18" s="681">
        <f t="shared" si="8"/>
        <v>-71</v>
      </c>
      <c r="X18" s="679">
        <v>397</v>
      </c>
      <c r="Y18" s="679">
        <v>305</v>
      </c>
      <c r="Z18" s="681">
        <f t="shared" si="9"/>
        <v>-92</v>
      </c>
      <c r="AA18" s="679">
        <v>8113</v>
      </c>
      <c r="AB18" s="679">
        <v>7747</v>
      </c>
      <c r="AC18" s="681">
        <f t="shared" si="10"/>
        <v>-366</v>
      </c>
      <c r="AD18" s="679">
        <v>5037</v>
      </c>
      <c r="AE18" s="679">
        <v>5774</v>
      </c>
      <c r="AF18" s="681">
        <f t="shared" si="11"/>
        <v>737</v>
      </c>
      <c r="AG18" s="679">
        <v>28503</v>
      </c>
      <c r="AH18" s="679">
        <v>28657</v>
      </c>
      <c r="AI18" s="681">
        <f t="shared" si="12"/>
        <v>154</v>
      </c>
      <c r="AJ18" s="679">
        <v>22081</v>
      </c>
      <c r="AK18" s="679">
        <v>21577</v>
      </c>
      <c r="AL18" s="681">
        <f t="shared" si="13"/>
        <v>-504</v>
      </c>
    </row>
    <row r="19" spans="1:38">
      <c r="A19" s="686" t="s">
        <v>292</v>
      </c>
      <c r="B19" s="676">
        <f t="shared" si="0"/>
        <v>47823</v>
      </c>
      <c r="C19" s="677">
        <f t="shared" si="0"/>
        <v>48262</v>
      </c>
      <c r="D19" s="676">
        <f t="shared" si="1"/>
        <v>439</v>
      </c>
      <c r="E19" s="676">
        <v>78</v>
      </c>
      <c r="F19" s="676">
        <v>59</v>
      </c>
      <c r="G19" s="676">
        <f t="shared" si="2"/>
        <v>-19</v>
      </c>
      <c r="H19" s="676">
        <v>5264</v>
      </c>
      <c r="I19" s="676">
        <v>5926</v>
      </c>
      <c r="J19" s="676">
        <f t="shared" si="3"/>
        <v>662</v>
      </c>
      <c r="K19" s="676">
        <v>4581</v>
      </c>
      <c r="L19" s="676">
        <v>4791</v>
      </c>
      <c r="M19" s="676">
        <f t="shared" si="4"/>
        <v>210</v>
      </c>
      <c r="N19" s="676">
        <v>20341</v>
      </c>
      <c r="O19" s="676">
        <v>21264</v>
      </c>
      <c r="P19" s="676">
        <f t="shared" si="5"/>
        <v>923</v>
      </c>
      <c r="Q19" s="676">
        <v>17559</v>
      </c>
      <c r="R19" s="676">
        <v>16222</v>
      </c>
      <c r="S19" s="676">
        <f t="shared" si="6"/>
        <v>-1337</v>
      </c>
      <c r="T19" s="690" t="s">
        <v>292</v>
      </c>
      <c r="U19" s="681">
        <f t="shared" si="7"/>
        <v>45207</v>
      </c>
      <c r="V19" s="681">
        <f t="shared" si="7"/>
        <v>45569</v>
      </c>
      <c r="W19" s="681">
        <f t="shared" si="8"/>
        <v>362</v>
      </c>
      <c r="X19" s="679">
        <v>78</v>
      </c>
      <c r="Y19" s="679">
        <v>59</v>
      </c>
      <c r="Z19" s="681">
        <f t="shared" si="9"/>
        <v>-19</v>
      </c>
      <c r="AA19" s="679">
        <v>4748</v>
      </c>
      <c r="AB19" s="679">
        <v>5328</v>
      </c>
      <c r="AC19" s="681">
        <f t="shared" si="10"/>
        <v>580</v>
      </c>
      <c r="AD19" s="679">
        <v>4292</v>
      </c>
      <c r="AE19" s="679">
        <v>4501</v>
      </c>
      <c r="AF19" s="681">
        <f t="shared" si="11"/>
        <v>209</v>
      </c>
      <c r="AG19" s="679">
        <v>18870</v>
      </c>
      <c r="AH19" s="679">
        <v>19799</v>
      </c>
      <c r="AI19" s="681">
        <f t="shared" si="12"/>
        <v>929</v>
      </c>
      <c r="AJ19" s="679">
        <v>17219</v>
      </c>
      <c r="AK19" s="679">
        <v>15882</v>
      </c>
      <c r="AL19" s="681">
        <f t="shared" si="13"/>
        <v>-1337</v>
      </c>
    </row>
    <row r="20" spans="1:38">
      <c r="A20" s="686" t="s">
        <v>293</v>
      </c>
      <c r="B20" s="676">
        <f t="shared" si="0"/>
        <v>87278</v>
      </c>
      <c r="C20" s="677">
        <f t="shared" si="0"/>
        <v>96109</v>
      </c>
      <c r="D20" s="676">
        <f t="shared" si="1"/>
        <v>8831</v>
      </c>
      <c r="E20" s="676">
        <v>325</v>
      </c>
      <c r="F20" s="676">
        <v>310</v>
      </c>
      <c r="G20" s="676">
        <f t="shared" si="2"/>
        <v>-15</v>
      </c>
      <c r="H20" s="676">
        <v>11052</v>
      </c>
      <c r="I20" s="676">
        <v>11541</v>
      </c>
      <c r="J20" s="676">
        <f t="shared" si="3"/>
        <v>489</v>
      </c>
      <c r="K20" s="676">
        <v>9340</v>
      </c>
      <c r="L20" s="676">
        <v>10815</v>
      </c>
      <c r="M20" s="676">
        <f t="shared" si="4"/>
        <v>1475</v>
      </c>
      <c r="N20" s="676">
        <v>39068</v>
      </c>
      <c r="O20" s="676">
        <v>44032</v>
      </c>
      <c r="P20" s="676">
        <f t="shared" si="5"/>
        <v>4964</v>
      </c>
      <c r="Q20" s="676">
        <v>27493</v>
      </c>
      <c r="R20" s="676">
        <v>29411</v>
      </c>
      <c r="S20" s="676">
        <f t="shared" si="6"/>
        <v>1918</v>
      </c>
      <c r="T20" s="691" t="s">
        <v>293</v>
      </c>
      <c r="U20" s="681">
        <f t="shared" si="7"/>
        <v>80739</v>
      </c>
      <c r="V20" s="681">
        <f t="shared" si="7"/>
        <v>88174</v>
      </c>
      <c r="W20" s="681">
        <f t="shared" si="8"/>
        <v>7435</v>
      </c>
      <c r="X20" s="679">
        <v>321</v>
      </c>
      <c r="Y20" s="679">
        <v>307</v>
      </c>
      <c r="Z20" s="681">
        <f t="shared" si="9"/>
        <v>-14</v>
      </c>
      <c r="AA20" s="679">
        <v>10937</v>
      </c>
      <c r="AB20" s="679">
        <v>11435</v>
      </c>
      <c r="AC20" s="681">
        <f t="shared" si="10"/>
        <v>498</v>
      </c>
      <c r="AD20" s="679">
        <v>8939</v>
      </c>
      <c r="AE20" s="679">
        <v>10551</v>
      </c>
      <c r="AF20" s="681">
        <f t="shared" si="11"/>
        <v>1612</v>
      </c>
      <c r="AG20" s="679">
        <v>33578</v>
      </c>
      <c r="AH20" s="679">
        <v>37113</v>
      </c>
      <c r="AI20" s="681">
        <f t="shared" si="12"/>
        <v>3535</v>
      </c>
      <c r="AJ20" s="679">
        <v>26964</v>
      </c>
      <c r="AK20" s="679">
        <v>28768</v>
      </c>
      <c r="AL20" s="681">
        <f t="shared" si="13"/>
        <v>1804</v>
      </c>
    </row>
    <row r="21" spans="1:38">
      <c r="A21" s="676" t="s">
        <v>296</v>
      </c>
      <c r="B21" s="676">
        <f>SUM(B7:B20)</f>
        <v>1149762</v>
      </c>
      <c r="C21" s="676">
        <f>SUM(C7:C20)</f>
        <v>1207253</v>
      </c>
      <c r="D21" s="676">
        <f t="shared" si="1"/>
        <v>57491</v>
      </c>
      <c r="E21" s="676">
        <f>SUM(E7:E20)</f>
        <v>5557</v>
      </c>
      <c r="F21" s="676">
        <f>SUM(F7:F20)</f>
        <v>5007</v>
      </c>
      <c r="G21" s="676">
        <f t="shared" si="2"/>
        <v>-550</v>
      </c>
      <c r="H21" s="676">
        <f>SUM(H7:H20)</f>
        <v>144102</v>
      </c>
      <c r="I21" s="676">
        <f>SUM(I7:I20)</f>
        <v>150845</v>
      </c>
      <c r="J21" s="676">
        <f t="shared" si="3"/>
        <v>6743</v>
      </c>
      <c r="K21" s="676">
        <f>SUM(K7:K20)</f>
        <v>109684</v>
      </c>
      <c r="L21" s="676">
        <f>SUM(L7:L20)</f>
        <v>119737</v>
      </c>
      <c r="M21" s="676">
        <f t="shared" si="4"/>
        <v>10053</v>
      </c>
      <c r="N21" s="676">
        <f>SUM(N7:N20)</f>
        <v>555359</v>
      </c>
      <c r="O21" s="676">
        <f>SUM(O7:O20)</f>
        <v>584778</v>
      </c>
      <c r="P21" s="676">
        <f t="shared" si="5"/>
        <v>29419</v>
      </c>
      <c r="Q21" s="676">
        <f>SUM(Q7:Q20)</f>
        <v>335060</v>
      </c>
      <c r="R21" s="676">
        <f>SUM(R7:R20)</f>
        <v>346886</v>
      </c>
      <c r="S21" s="676">
        <f t="shared" si="6"/>
        <v>11826</v>
      </c>
      <c r="T21" s="686" t="s">
        <v>296</v>
      </c>
      <c r="U21" s="681">
        <f>SUM(U7:U20)</f>
        <v>1103287</v>
      </c>
      <c r="V21" s="681">
        <f>SUM(V7:V20)</f>
        <v>1156252</v>
      </c>
      <c r="W21" s="681">
        <f t="shared" si="8"/>
        <v>52965</v>
      </c>
      <c r="X21" s="681">
        <f>SUM(X7:X20)</f>
        <v>5415</v>
      </c>
      <c r="Y21" s="681">
        <f>SUM(Y7:Y20)</f>
        <v>4798</v>
      </c>
      <c r="Z21" s="681">
        <f t="shared" si="9"/>
        <v>-617</v>
      </c>
      <c r="AA21" s="681">
        <f>SUM(AA7:AA20)</f>
        <v>139847</v>
      </c>
      <c r="AB21" s="681">
        <f>SUM(AB7:AB20)</f>
        <v>146369</v>
      </c>
      <c r="AC21" s="681">
        <f t="shared" si="10"/>
        <v>6522</v>
      </c>
      <c r="AD21" s="681">
        <f>SUM(AD7:AD20)</f>
        <v>104636</v>
      </c>
      <c r="AE21" s="681">
        <f>SUM(AE7:AE20)</f>
        <v>114451</v>
      </c>
      <c r="AF21" s="681">
        <f t="shared" si="11"/>
        <v>9815</v>
      </c>
      <c r="AG21" s="681">
        <f>SUM(AG7:AG20)</f>
        <v>524694</v>
      </c>
      <c r="AH21" s="681">
        <f>SUM(AH7:AH20)</f>
        <v>550092</v>
      </c>
      <c r="AI21" s="681">
        <f t="shared" si="12"/>
        <v>25398</v>
      </c>
      <c r="AJ21" s="681">
        <f>SUM(AJ7:AJ20)</f>
        <v>328695</v>
      </c>
      <c r="AK21" s="681">
        <f>SUM(AK7:AK20)</f>
        <v>340542</v>
      </c>
      <c r="AL21" s="681">
        <f t="shared" si="13"/>
        <v>11847</v>
      </c>
    </row>
    <row r="22" spans="1:38" ht="19.5" customHeight="1">
      <c r="A22" s="684"/>
      <c r="B22" s="687"/>
      <c r="C22" s="687"/>
      <c r="D22" s="687"/>
      <c r="E22" s="687"/>
      <c r="F22" s="687"/>
      <c r="G22" s="688"/>
      <c r="H22" s="376" t="s">
        <v>2292</v>
      </c>
      <c r="I22" s="687"/>
      <c r="J22" s="687"/>
      <c r="K22" s="687"/>
      <c r="L22" s="687"/>
      <c r="M22" s="687"/>
      <c r="N22" s="687"/>
      <c r="O22" s="687"/>
      <c r="P22" s="687"/>
      <c r="Q22" s="687"/>
      <c r="R22" s="687"/>
      <c r="T22" s="1545" t="s">
        <v>2296</v>
      </c>
      <c r="U22" s="1545"/>
      <c r="V22" s="1545"/>
      <c r="W22" s="1545"/>
      <c r="X22" s="1545"/>
      <c r="Y22" s="1545"/>
      <c r="Z22" s="1545"/>
      <c r="AA22" s="1545"/>
      <c r="AB22" s="1545"/>
      <c r="AC22" s="1545"/>
      <c r="AD22" s="1545"/>
      <c r="AE22" s="1545"/>
      <c r="AF22" s="1545"/>
      <c r="AG22" s="1545"/>
      <c r="AH22" s="1545"/>
      <c r="AI22" s="1545"/>
      <c r="AJ22" s="1545"/>
      <c r="AK22" s="1545"/>
      <c r="AL22" s="1545"/>
    </row>
    <row r="23" spans="1:38">
      <c r="A23" s="1533"/>
      <c r="B23" s="1526" t="s">
        <v>276</v>
      </c>
      <c r="C23" s="1526"/>
      <c r="D23" s="1526"/>
      <c r="E23" s="1526" t="s">
        <v>275</v>
      </c>
      <c r="F23" s="1526"/>
      <c r="G23" s="1526"/>
      <c r="H23" s="1526"/>
      <c r="I23" s="1526"/>
      <c r="J23" s="1526"/>
      <c r="K23" s="1526"/>
      <c r="L23" s="1526"/>
      <c r="M23" s="1526"/>
      <c r="N23" s="1526"/>
      <c r="O23" s="1526"/>
      <c r="P23" s="1526"/>
      <c r="Q23" s="1526"/>
      <c r="R23" s="1526"/>
      <c r="S23" s="1536"/>
      <c r="T23" s="1527"/>
      <c r="U23" s="1526" t="s">
        <v>276</v>
      </c>
      <c r="V23" s="1526"/>
      <c r="W23" s="1526"/>
      <c r="X23" s="1526" t="s">
        <v>805</v>
      </c>
      <c r="Y23" s="1526"/>
      <c r="Z23" s="1526"/>
      <c r="AA23" s="1526"/>
      <c r="AB23" s="1526"/>
      <c r="AC23" s="1526"/>
      <c r="AD23" s="1526"/>
      <c r="AE23" s="1526"/>
      <c r="AF23" s="1526"/>
      <c r="AG23" s="1526"/>
      <c r="AH23" s="1526"/>
      <c r="AI23" s="1526"/>
      <c r="AJ23" s="1526"/>
      <c r="AK23" s="1526"/>
      <c r="AL23" s="1526"/>
    </row>
    <row r="24" spans="1:38">
      <c r="A24" s="1534"/>
      <c r="B24" s="1526"/>
      <c r="C24" s="1526"/>
      <c r="D24" s="1526"/>
      <c r="E24" s="1526" t="s">
        <v>762</v>
      </c>
      <c r="F24" s="1526"/>
      <c r="G24" s="1526"/>
      <c r="H24" s="1526" t="s">
        <v>763</v>
      </c>
      <c r="I24" s="1526"/>
      <c r="J24" s="1526"/>
      <c r="K24" s="1526" t="s">
        <v>764</v>
      </c>
      <c r="L24" s="1526"/>
      <c r="M24" s="1526"/>
      <c r="N24" s="1526" t="s">
        <v>765</v>
      </c>
      <c r="O24" s="1526"/>
      <c r="P24" s="1526"/>
      <c r="Q24" s="1526" t="s">
        <v>766</v>
      </c>
      <c r="R24" s="1526"/>
      <c r="S24" s="1536"/>
      <c r="T24" s="1527"/>
      <c r="U24" s="1526"/>
      <c r="V24" s="1526"/>
      <c r="W24" s="1526"/>
      <c r="X24" s="1526" t="s">
        <v>768</v>
      </c>
      <c r="Y24" s="1526"/>
      <c r="Z24" s="1526"/>
      <c r="AA24" s="1526" t="s">
        <v>769</v>
      </c>
      <c r="AB24" s="1526"/>
      <c r="AC24" s="1526"/>
      <c r="AD24" s="1526" t="s">
        <v>770</v>
      </c>
      <c r="AE24" s="1526"/>
      <c r="AF24" s="1526"/>
      <c r="AG24" s="1526" t="s">
        <v>791</v>
      </c>
      <c r="AH24" s="1526"/>
      <c r="AI24" s="1526"/>
      <c r="AJ24" s="1526" t="s">
        <v>792</v>
      </c>
      <c r="AK24" s="1526"/>
      <c r="AL24" s="1526"/>
    </row>
    <row r="25" spans="1:38" ht="12.75" customHeight="1">
      <c r="A25" s="1534"/>
      <c r="B25" s="1526">
        <v>2011</v>
      </c>
      <c r="C25" s="1526">
        <v>2012</v>
      </c>
      <c r="D25" s="1530" t="s">
        <v>803</v>
      </c>
      <c r="E25" s="1526">
        <v>2011</v>
      </c>
      <c r="F25" s="1526">
        <v>2012</v>
      </c>
      <c r="G25" s="1530" t="s">
        <v>803</v>
      </c>
      <c r="H25" s="1526">
        <v>2011</v>
      </c>
      <c r="I25" s="1526">
        <v>2012</v>
      </c>
      <c r="J25" s="1530" t="s">
        <v>803</v>
      </c>
      <c r="K25" s="1526">
        <v>2011</v>
      </c>
      <c r="L25" s="1526">
        <v>2012</v>
      </c>
      <c r="M25" s="1530" t="s">
        <v>803</v>
      </c>
      <c r="N25" s="1526">
        <v>2011</v>
      </c>
      <c r="O25" s="1526">
        <v>2012</v>
      </c>
      <c r="P25" s="1530" t="s">
        <v>803</v>
      </c>
      <c r="Q25" s="1526">
        <v>2011</v>
      </c>
      <c r="R25" s="1526">
        <v>2012</v>
      </c>
      <c r="S25" s="1530" t="s">
        <v>803</v>
      </c>
      <c r="T25" s="1527"/>
      <c r="U25" s="1526">
        <v>2011</v>
      </c>
      <c r="V25" s="1526">
        <v>2012</v>
      </c>
      <c r="W25" s="1530" t="s">
        <v>803</v>
      </c>
      <c r="X25" s="1526">
        <v>2011</v>
      </c>
      <c r="Y25" s="1526">
        <v>2012</v>
      </c>
      <c r="Z25" s="1530" t="s">
        <v>803</v>
      </c>
      <c r="AA25" s="1526">
        <v>2011</v>
      </c>
      <c r="AB25" s="1526">
        <v>2012</v>
      </c>
      <c r="AC25" s="1530" t="s">
        <v>803</v>
      </c>
      <c r="AD25" s="1526">
        <v>2011</v>
      </c>
      <c r="AE25" s="1526">
        <v>2012</v>
      </c>
      <c r="AF25" s="1530" t="s">
        <v>803</v>
      </c>
      <c r="AG25" s="1526">
        <v>2011</v>
      </c>
      <c r="AH25" s="1526">
        <v>2012</v>
      </c>
      <c r="AI25" s="1530" t="s">
        <v>803</v>
      </c>
      <c r="AJ25" s="1526">
        <v>2011</v>
      </c>
      <c r="AK25" s="1526">
        <v>2012</v>
      </c>
      <c r="AL25" s="1530" t="s">
        <v>803</v>
      </c>
    </row>
    <row r="26" spans="1:38">
      <c r="A26" s="1535"/>
      <c r="B26" s="1526"/>
      <c r="C26" s="1526"/>
      <c r="D26" s="1531"/>
      <c r="E26" s="1526"/>
      <c r="F26" s="1526"/>
      <c r="G26" s="1531"/>
      <c r="H26" s="1526"/>
      <c r="I26" s="1526"/>
      <c r="J26" s="1531"/>
      <c r="K26" s="1526"/>
      <c r="L26" s="1526"/>
      <c r="M26" s="1531"/>
      <c r="N26" s="1526"/>
      <c r="O26" s="1526"/>
      <c r="P26" s="1531"/>
      <c r="Q26" s="1526"/>
      <c r="R26" s="1526"/>
      <c r="S26" s="1531"/>
      <c r="T26" s="1527"/>
      <c r="U26" s="1526"/>
      <c r="V26" s="1526"/>
      <c r="W26" s="1531"/>
      <c r="X26" s="1526"/>
      <c r="Y26" s="1526"/>
      <c r="Z26" s="1531"/>
      <c r="AA26" s="1526"/>
      <c r="AB26" s="1526"/>
      <c r="AC26" s="1531"/>
      <c r="AD26" s="1526"/>
      <c r="AE26" s="1526"/>
      <c r="AF26" s="1531"/>
      <c r="AG26" s="1526"/>
      <c r="AH26" s="1526"/>
      <c r="AI26" s="1531"/>
      <c r="AJ26" s="1526"/>
      <c r="AK26" s="1526"/>
      <c r="AL26" s="1531"/>
    </row>
    <row r="27" spans="1:38">
      <c r="A27" s="689" t="s">
        <v>280</v>
      </c>
      <c r="B27" s="681">
        <f t="shared" ref="B27:C40" si="14">SUM(E27+H27+K27+N27+Q27)</f>
        <v>44589</v>
      </c>
      <c r="C27" s="681">
        <f t="shared" si="14"/>
        <v>49382</v>
      </c>
      <c r="D27" s="681">
        <f t="shared" ref="D27:D41" si="15">(C27-B27)</f>
        <v>4793</v>
      </c>
      <c r="E27" s="679">
        <v>54</v>
      </c>
      <c r="F27" s="679">
        <v>39</v>
      </c>
      <c r="G27" s="681">
        <f>(F27-E27)</f>
        <v>-15</v>
      </c>
      <c r="H27" s="679">
        <v>2079</v>
      </c>
      <c r="I27" s="679">
        <v>2052</v>
      </c>
      <c r="J27" s="681">
        <f t="shared" ref="J27:J41" si="16">(I27-H27)</f>
        <v>-27</v>
      </c>
      <c r="K27" s="679">
        <v>4026</v>
      </c>
      <c r="L27" s="679">
        <v>4071</v>
      </c>
      <c r="M27" s="681">
        <f t="shared" ref="M27:M41" si="17">(L27-K27)</f>
        <v>45</v>
      </c>
      <c r="N27" s="679">
        <v>25855</v>
      </c>
      <c r="O27" s="679">
        <v>30000</v>
      </c>
      <c r="P27" s="681">
        <f t="shared" ref="P27:P41" si="18">(O27-N27)</f>
        <v>4145</v>
      </c>
      <c r="Q27" s="679">
        <v>12575</v>
      </c>
      <c r="R27" s="679">
        <v>13220</v>
      </c>
      <c r="S27" s="681">
        <f t="shared" ref="S27:S41" si="19">(R27-Q27)</f>
        <v>645</v>
      </c>
      <c r="T27" s="689" t="s">
        <v>280</v>
      </c>
      <c r="U27" s="710">
        <f t="shared" ref="U27:V41" si="20">(U7/B7)*100</f>
        <v>99.654257670881591</v>
      </c>
      <c r="V27" s="710">
        <f t="shared" si="20"/>
        <v>98.483285646375037</v>
      </c>
      <c r="W27" s="755">
        <f t="shared" ref="W27:W41" si="21">(V27-U27)</f>
        <v>-1.170972024506554</v>
      </c>
      <c r="X27" s="710">
        <f t="shared" ref="X27:Y41" si="22">(X7/E7)*100</f>
        <v>100</v>
      </c>
      <c r="Y27" s="710">
        <f t="shared" si="22"/>
        <v>100</v>
      </c>
      <c r="Z27" s="755">
        <f t="shared" ref="Z27:Z41" si="23">(Y27-X27)</f>
        <v>0</v>
      </c>
      <c r="AA27" s="710">
        <f t="shared" ref="AA27:AB41" si="24">(AA7/H7)*100</f>
        <v>99.974664302001514</v>
      </c>
      <c r="AB27" s="710">
        <f t="shared" si="24"/>
        <v>98.221292178917082</v>
      </c>
      <c r="AC27" s="755">
        <f t="shared" ref="AC27:AC41" si="25">(AB27-AA27)</f>
        <v>-1.7533721230844321</v>
      </c>
      <c r="AD27" s="710">
        <f t="shared" ref="AD27:AE41" si="26">(AD7/K7)*100</f>
        <v>99.690612008121434</v>
      </c>
      <c r="AE27" s="710">
        <f t="shared" si="26"/>
        <v>98.907208588957047</v>
      </c>
      <c r="AF27" s="755">
        <f t="shared" ref="AF27:AF41" si="27">(AE27-AD27)</f>
        <v>-0.78340341916438661</v>
      </c>
      <c r="AG27" s="710">
        <f t="shared" ref="AG27:AH41" si="28">(AG7/N7)*100</f>
        <v>99.456691927099641</v>
      </c>
      <c r="AH27" s="710">
        <f t="shared" si="28"/>
        <v>98.226834322753547</v>
      </c>
      <c r="AI27" s="755">
        <f t="shared" ref="AI27:AI41" si="29">(AH27-AG27)</f>
        <v>-1.229857604346094</v>
      </c>
      <c r="AJ27" s="710">
        <f t="shared" ref="AJ27:AK41" si="30">(AJ7/Q7)*100</f>
        <v>99.967572475517215</v>
      </c>
      <c r="AK27" s="710">
        <f t="shared" si="30"/>
        <v>98.958369142975016</v>
      </c>
      <c r="AL27" s="755">
        <f t="shared" ref="AL27:AL41" si="31">(AK27-AJ27)</f>
        <v>-1.0092033325421994</v>
      </c>
    </row>
    <row r="28" spans="1:38">
      <c r="A28" s="690" t="s">
        <v>281</v>
      </c>
      <c r="B28" s="681">
        <f t="shared" si="14"/>
        <v>34088</v>
      </c>
      <c r="C28" s="681">
        <f t="shared" si="14"/>
        <v>38450</v>
      </c>
      <c r="D28" s="681">
        <f t="shared" si="15"/>
        <v>4362</v>
      </c>
      <c r="E28" s="679">
        <v>227</v>
      </c>
      <c r="F28" s="679">
        <v>240</v>
      </c>
      <c r="G28" s="681">
        <f>(F28-E28)</f>
        <v>13</v>
      </c>
      <c r="H28" s="679">
        <v>3607</v>
      </c>
      <c r="I28" s="679">
        <v>3818</v>
      </c>
      <c r="J28" s="681">
        <f t="shared" si="16"/>
        <v>211</v>
      </c>
      <c r="K28" s="679">
        <v>2950</v>
      </c>
      <c r="L28" s="679">
        <v>3055</v>
      </c>
      <c r="M28" s="681">
        <f t="shared" si="17"/>
        <v>105</v>
      </c>
      <c r="N28" s="679">
        <v>16310</v>
      </c>
      <c r="O28" s="679">
        <v>19163</v>
      </c>
      <c r="P28" s="681">
        <f t="shared" si="18"/>
        <v>2853</v>
      </c>
      <c r="Q28" s="679">
        <v>10994</v>
      </c>
      <c r="R28" s="679">
        <v>12174</v>
      </c>
      <c r="S28" s="681">
        <f t="shared" si="19"/>
        <v>1180</v>
      </c>
      <c r="T28" s="690" t="s">
        <v>281</v>
      </c>
      <c r="U28" s="710">
        <f t="shared" si="20"/>
        <v>91.18374671537525</v>
      </c>
      <c r="V28" s="710">
        <f t="shared" si="20"/>
        <v>92.744327361288612</v>
      </c>
      <c r="W28" s="755">
        <f t="shared" si="21"/>
        <v>1.5605806459133618</v>
      </c>
      <c r="X28" s="710">
        <f t="shared" si="22"/>
        <v>96.237337192474669</v>
      </c>
      <c r="Y28" s="710">
        <f t="shared" si="22"/>
        <v>96.056782334384863</v>
      </c>
      <c r="Z28" s="755">
        <f t="shared" si="23"/>
        <v>-0.1805548580898062</v>
      </c>
      <c r="AA28" s="710">
        <f t="shared" si="24"/>
        <v>94.210433556573847</v>
      </c>
      <c r="AB28" s="710">
        <f t="shared" si="24"/>
        <v>94.878381632816883</v>
      </c>
      <c r="AC28" s="755">
        <f t="shared" si="25"/>
        <v>0.66794807624303587</v>
      </c>
      <c r="AD28" s="710">
        <f t="shared" si="26"/>
        <v>93.396918561995605</v>
      </c>
      <c r="AE28" s="710">
        <f t="shared" si="26"/>
        <v>94.286834880376517</v>
      </c>
      <c r="AF28" s="755">
        <f t="shared" si="27"/>
        <v>0.88991631838091223</v>
      </c>
      <c r="AG28" s="710">
        <f t="shared" si="28"/>
        <v>87.546245919477698</v>
      </c>
      <c r="AH28" s="710">
        <f t="shared" si="28"/>
        <v>89.3592738082599</v>
      </c>
      <c r="AI28" s="755">
        <f t="shared" si="29"/>
        <v>1.8130278887822016</v>
      </c>
      <c r="AJ28" s="710">
        <f t="shared" si="30"/>
        <v>94.790411142359716</v>
      </c>
      <c r="AK28" s="710">
        <f t="shared" si="30"/>
        <v>96.293729103808204</v>
      </c>
      <c r="AL28" s="755">
        <f t="shared" si="31"/>
        <v>1.5033179614484879</v>
      </c>
    </row>
    <row r="29" spans="1:38">
      <c r="A29" s="690" t="s">
        <v>282</v>
      </c>
      <c r="B29" s="681">
        <f t="shared" si="14"/>
        <v>32049</v>
      </c>
      <c r="C29" s="681">
        <f t="shared" si="14"/>
        <v>34811</v>
      </c>
      <c r="D29" s="681">
        <f t="shared" si="15"/>
        <v>2762</v>
      </c>
      <c r="E29" s="679">
        <v>136</v>
      </c>
      <c r="F29" s="679">
        <v>101</v>
      </c>
      <c r="G29" s="681">
        <v>2432</v>
      </c>
      <c r="H29" s="679">
        <v>3038</v>
      </c>
      <c r="I29" s="679">
        <v>3251</v>
      </c>
      <c r="J29" s="681">
        <f t="shared" si="16"/>
        <v>213</v>
      </c>
      <c r="K29" s="679">
        <v>2305</v>
      </c>
      <c r="L29" s="679">
        <v>2615</v>
      </c>
      <c r="M29" s="681">
        <f t="shared" si="17"/>
        <v>310</v>
      </c>
      <c r="N29" s="679">
        <v>16621</v>
      </c>
      <c r="O29" s="679">
        <v>17556</v>
      </c>
      <c r="P29" s="681">
        <f t="shared" si="18"/>
        <v>935</v>
      </c>
      <c r="Q29" s="679">
        <v>9949</v>
      </c>
      <c r="R29" s="679">
        <v>11288</v>
      </c>
      <c r="S29" s="681">
        <f t="shared" si="19"/>
        <v>1339</v>
      </c>
      <c r="T29" s="690" t="s">
        <v>282</v>
      </c>
      <c r="U29" s="710">
        <f t="shared" si="20"/>
        <v>96.592351690986632</v>
      </c>
      <c r="V29" s="710">
        <f t="shared" si="20"/>
        <v>97.94398770135686</v>
      </c>
      <c r="W29" s="755">
        <f t="shared" si="21"/>
        <v>1.3516360103702283</v>
      </c>
      <c r="X29" s="710">
        <f t="shared" si="22"/>
        <v>80.927835051546396</v>
      </c>
      <c r="Y29" s="710">
        <f t="shared" si="22"/>
        <v>80.44692737430168</v>
      </c>
      <c r="Z29" s="755">
        <f t="shared" si="23"/>
        <v>-0.48090767724471561</v>
      </c>
      <c r="AA29" s="710">
        <f t="shared" si="24"/>
        <v>99.583911234396666</v>
      </c>
      <c r="AB29" s="710">
        <f t="shared" si="24"/>
        <v>99.668874172185426</v>
      </c>
      <c r="AC29" s="755">
        <f t="shared" si="25"/>
        <v>8.4962937788759518E-2</v>
      </c>
      <c r="AD29" s="710">
        <f t="shared" si="26"/>
        <v>92.723880597014926</v>
      </c>
      <c r="AE29" s="710">
        <f t="shared" si="26"/>
        <v>93.655394524959746</v>
      </c>
      <c r="AF29" s="755">
        <f t="shared" si="27"/>
        <v>0.93151392794482035</v>
      </c>
      <c r="AG29" s="710">
        <f t="shared" si="28"/>
        <v>94.590519840791217</v>
      </c>
      <c r="AH29" s="710">
        <f t="shared" si="28"/>
        <v>97.257229743559748</v>
      </c>
      <c r="AI29" s="755">
        <f t="shared" si="29"/>
        <v>2.666709902768531</v>
      </c>
      <c r="AJ29" s="710">
        <f t="shared" si="30"/>
        <v>99.578219041751581</v>
      </c>
      <c r="AK29" s="710">
        <f t="shared" si="30"/>
        <v>99.567004898530442</v>
      </c>
      <c r="AL29" s="755">
        <f t="shared" si="31"/>
        <v>-1.1214143221138784E-2</v>
      </c>
    </row>
    <row r="30" spans="1:38">
      <c r="A30" s="690" t="s">
        <v>283</v>
      </c>
      <c r="B30" s="681">
        <f t="shared" si="14"/>
        <v>28110</v>
      </c>
      <c r="C30" s="681">
        <f t="shared" si="14"/>
        <v>33727</v>
      </c>
      <c r="D30" s="681">
        <f t="shared" si="15"/>
        <v>5617</v>
      </c>
      <c r="E30" s="679">
        <v>93</v>
      </c>
      <c r="F30" s="679">
        <v>84</v>
      </c>
      <c r="G30" s="681">
        <f t="shared" ref="G30:G41" si="32">(F30-E30)</f>
        <v>-9</v>
      </c>
      <c r="H30" s="679">
        <v>2741</v>
      </c>
      <c r="I30" s="679">
        <v>2857</v>
      </c>
      <c r="J30" s="681">
        <f t="shared" si="16"/>
        <v>116</v>
      </c>
      <c r="K30" s="679">
        <v>2006</v>
      </c>
      <c r="L30" s="679">
        <v>2223</v>
      </c>
      <c r="M30" s="681">
        <f t="shared" si="17"/>
        <v>217</v>
      </c>
      <c r="N30" s="679">
        <v>13731</v>
      </c>
      <c r="O30" s="679">
        <v>16942</v>
      </c>
      <c r="P30" s="681">
        <f t="shared" si="18"/>
        <v>3211</v>
      </c>
      <c r="Q30" s="679">
        <v>9539</v>
      </c>
      <c r="R30" s="679">
        <v>11621</v>
      </c>
      <c r="S30" s="681">
        <f t="shared" si="19"/>
        <v>2082</v>
      </c>
      <c r="T30" s="690" t="s">
        <v>283</v>
      </c>
      <c r="U30" s="710">
        <f t="shared" si="20"/>
        <v>99.465803447561029</v>
      </c>
      <c r="V30" s="710">
        <f t="shared" si="20"/>
        <v>98.574821852731588</v>
      </c>
      <c r="W30" s="755">
        <f t="shared" si="21"/>
        <v>-0.89098159482944084</v>
      </c>
      <c r="X30" s="710">
        <f t="shared" si="22"/>
        <v>100</v>
      </c>
      <c r="Y30" s="710">
        <f t="shared" si="22"/>
        <v>100</v>
      </c>
      <c r="Z30" s="755">
        <f t="shared" si="23"/>
        <v>0</v>
      </c>
      <c r="AA30" s="710">
        <f t="shared" si="24"/>
        <v>100</v>
      </c>
      <c r="AB30" s="710">
        <f t="shared" si="24"/>
        <v>100</v>
      </c>
      <c r="AC30" s="755">
        <f t="shared" si="25"/>
        <v>0</v>
      </c>
      <c r="AD30" s="710">
        <f t="shared" si="26"/>
        <v>100</v>
      </c>
      <c r="AE30" s="710">
        <f t="shared" si="26"/>
        <v>100</v>
      </c>
      <c r="AF30" s="755">
        <f t="shared" si="27"/>
        <v>0</v>
      </c>
      <c r="AG30" s="710">
        <f t="shared" si="28"/>
        <v>99.099004347216379</v>
      </c>
      <c r="AH30" s="710">
        <f t="shared" si="28"/>
        <v>97.181723906545486</v>
      </c>
      <c r="AI30" s="755">
        <f t="shared" si="29"/>
        <v>-1.9172804406708934</v>
      </c>
      <c r="AJ30" s="710">
        <f t="shared" si="30"/>
        <v>99.610778443113773</v>
      </c>
      <c r="AK30" s="710">
        <f t="shared" si="30"/>
        <v>99.629564297054145</v>
      </c>
      <c r="AL30" s="755">
        <f t="shared" si="31"/>
        <v>1.8785853940372021E-2</v>
      </c>
    </row>
    <row r="31" spans="1:38">
      <c r="A31" s="690" t="s">
        <v>284</v>
      </c>
      <c r="B31" s="681">
        <f t="shared" si="14"/>
        <v>69561</v>
      </c>
      <c r="C31" s="681">
        <f t="shared" si="14"/>
        <v>64903</v>
      </c>
      <c r="D31" s="681">
        <f t="shared" si="15"/>
        <v>-4658</v>
      </c>
      <c r="E31" s="679">
        <v>205</v>
      </c>
      <c r="F31" s="679">
        <v>172</v>
      </c>
      <c r="G31" s="681">
        <f t="shared" si="32"/>
        <v>-33</v>
      </c>
      <c r="H31" s="679">
        <v>4402</v>
      </c>
      <c r="I31" s="679">
        <v>4438</v>
      </c>
      <c r="J31" s="681">
        <f t="shared" si="16"/>
        <v>36</v>
      </c>
      <c r="K31" s="679">
        <v>4276</v>
      </c>
      <c r="L31" s="679">
        <v>4365</v>
      </c>
      <c r="M31" s="681">
        <f t="shared" si="17"/>
        <v>89</v>
      </c>
      <c r="N31" s="679">
        <v>40722</v>
      </c>
      <c r="O31" s="679">
        <v>37590</v>
      </c>
      <c r="P31" s="681">
        <f t="shared" si="18"/>
        <v>-3132</v>
      </c>
      <c r="Q31" s="679">
        <v>19956</v>
      </c>
      <c r="R31" s="679">
        <v>18338</v>
      </c>
      <c r="S31" s="681">
        <f t="shared" si="19"/>
        <v>-1618</v>
      </c>
      <c r="T31" s="690" t="s">
        <v>284</v>
      </c>
      <c r="U31" s="710">
        <f t="shared" si="20"/>
        <v>98.822105736837628</v>
      </c>
      <c r="V31" s="710">
        <f t="shared" si="20"/>
        <v>98.81678882431433</v>
      </c>
      <c r="W31" s="755">
        <f t="shared" si="21"/>
        <v>-5.3169125232983561E-3</v>
      </c>
      <c r="X31" s="710">
        <f t="shared" si="22"/>
        <v>100</v>
      </c>
      <c r="Y31" s="710">
        <f t="shared" si="22"/>
        <v>100</v>
      </c>
      <c r="Z31" s="755">
        <f t="shared" si="23"/>
        <v>0</v>
      </c>
      <c r="AA31" s="710">
        <f t="shared" si="24"/>
        <v>98.800282286520826</v>
      </c>
      <c r="AB31" s="710">
        <f t="shared" si="24"/>
        <v>99.00238141211301</v>
      </c>
      <c r="AC31" s="755">
        <f t="shared" si="25"/>
        <v>0.20209912559218424</v>
      </c>
      <c r="AD31" s="710">
        <f t="shared" si="26"/>
        <v>99.464547888418693</v>
      </c>
      <c r="AE31" s="710">
        <f t="shared" si="26"/>
        <v>99.61773700305811</v>
      </c>
      <c r="AF31" s="755">
        <f t="shared" si="27"/>
        <v>0.15318911463941731</v>
      </c>
      <c r="AG31" s="710">
        <f t="shared" si="28"/>
        <v>98.630484123311518</v>
      </c>
      <c r="AH31" s="710">
        <f t="shared" si="28"/>
        <v>98.543528632903005</v>
      </c>
      <c r="AI31" s="755">
        <f t="shared" si="29"/>
        <v>-8.6955490408513469E-2</v>
      </c>
      <c r="AJ31" s="710">
        <f t="shared" si="30"/>
        <v>99.030627804644283</v>
      </c>
      <c r="AK31" s="710">
        <f t="shared" si="30"/>
        <v>99.074638054631492</v>
      </c>
      <c r="AL31" s="755">
        <f t="shared" si="31"/>
        <v>4.4010249987209704E-2</v>
      </c>
    </row>
    <row r="32" spans="1:38">
      <c r="A32" s="690" t="s">
        <v>285</v>
      </c>
      <c r="B32" s="681">
        <f t="shared" si="14"/>
        <v>34232</v>
      </c>
      <c r="C32" s="681">
        <f t="shared" si="14"/>
        <v>35470</v>
      </c>
      <c r="D32" s="681">
        <f t="shared" si="15"/>
        <v>1238</v>
      </c>
      <c r="E32" s="679">
        <v>277</v>
      </c>
      <c r="F32" s="679">
        <v>227</v>
      </c>
      <c r="G32" s="681">
        <f t="shared" si="32"/>
        <v>-50</v>
      </c>
      <c r="H32" s="679">
        <v>4257</v>
      </c>
      <c r="I32" s="679">
        <v>4466</v>
      </c>
      <c r="J32" s="681">
        <f t="shared" si="16"/>
        <v>209</v>
      </c>
      <c r="K32" s="679">
        <v>4093</v>
      </c>
      <c r="L32" s="679">
        <v>4257</v>
      </c>
      <c r="M32" s="681">
        <f t="shared" si="17"/>
        <v>164</v>
      </c>
      <c r="N32" s="679">
        <v>15927</v>
      </c>
      <c r="O32" s="679">
        <v>16305</v>
      </c>
      <c r="P32" s="681">
        <f t="shared" si="18"/>
        <v>378</v>
      </c>
      <c r="Q32" s="679">
        <v>9678</v>
      </c>
      <c r="R32" s="679">
        <v>10215</v>
      </c>
      <c r="S32" s="681">
        <f t="shared" si="19"/>
        <v>537</v>
      </c>
      <c r="T32" s="690" t="s">
        <v>285</v>
      </c>
      <c r="U32" s="710">
        <f t="shared" si="20"/>
        <v>95.652737514435884</v>
      </c>
      <c r="V32" s="710">
        <f t="shared" si="20"/>
        <v>96.295783584241789</v>
      </c>
      <c r="W32" s="755">
        <f t="shared" si="21"/>
        <v>0.64304606980590506</v>
      </c>
      <c r="X32" s="710">
        <f t="shared" si="22"/>
        <v>98.576972833117722</v>
      </c>
      <c r="Y32" s="710">
        <f t="shared" si="22"/>
        <v>99.373040752351088</v>
      </c>
      <c r="Z32" s="755">
        <f t="shared" si="23"/>
        <v>0.79606791923336573</v>
      </c>
      <c r="AA32" s="710">
        <f t="shared" si="24"/>
        <v>95.293225828681699</v>
      </c>
      <c r="AB32" s="710">
        <f t="shared" si="24"/>
        <v>95.77195331930362</v>
      </c>
      <c r="AC32" s="755">
        <f t="shared" si="25"/>
        <v>0.47872749062192099</v>
      </c>
      <c r="AD32" s="710">
        <f t="shared" si="26"/>
        <v>94.872740686093692</v>
      </c>
      <c r="AE32" s="710">
        <f t="shared" si="26"/>
        <v>94.21876336269564</v>
      </c>
      <c r="AF32" s="755">
        <f t="shared" si="27"/>
        <v>-0.65397732339805259</v>
      </c>
      <c r="AG32" s="710">
        <f t="shared" si="28"/>
        <v>94.693877551020407</v>
      </c>
      <c r="AH32" s="710">
        <f t="shared" si="28"/>
        <v>96.073896488506563</v>
      </c>
      <c r="AI32" s="755">
        <f t="shared" si="29"/>
        <v>1.380018937486156</v>
      </c>
      <c r="AJ32" s="710">
        <f t="shared" si="30"/>
        <v>97.522974101921463</v>
      </c>
      <c r="AK32" s="710">
        <f t="shared" si="30"/>
        <v>97.9498664829012</v>
      </c>
      <c r="AL32" s="755">
        <f t="shared" si="31"/>
        <v>0.42689238097973714</v>
      </c>
    </row>
    <row r="33" spans="1:38">
      <c r="A33" s="690" t="s">
        <v>286</v>
      </c>
      <c r="B33" s="681">
        <f t="shared" si="14"/>
        <v>28486</v>
      </c>
      <c r="C33" s="681">
        <f t="shared" si="14"/>
        <v>28050</v>
      </c>
      <c r="D33" s="681">
        <f t="shared" si="15"/>
        <v>-436</v>
      </c>
      <c r="E33" s="679">
        <v>162</v>
      </c>
      <c r="F33" s="679">
        <v>123</v>
      </c>
      <c r="G33" s="681">
        <f t="shared" si="32"/>
        <v>-39</v>
      </c>
      <c r="H33" s="679">
        <v>3226</v>
      </c>
      <c r="I33" s="679">
        <v>3095</v>
      </c>
      <c r="J33" s="681">
        <f t="shared" si="16"/>
        <v>-131</v>
      </c>
      <c r="K33" s="679">
        <v>5338</v>
      </c>
      <c r="L33" s="679">
        <v>5626</v>
      </c>
      <c r="M33" s="681">
        <f t="shared" si="17"/>
        <v>288</v>
      </c>
      <c r="N33" s="679">
        <v>12978</v>
      </c>
      <c r="O33" s="679">
        <v>12451</v>
      </c>
      <c r="P33" s="681">
        <f t="shared" si="18"/>
        <v>-527</v>
      </c>
      <c r="Q33" s="679">
        <v>6782</v>
      </c>
      <c r="R33" s="679">
        <v>6755</v>
      </c>
      <c r="S33" s="681">
        <f t="shared" si="19"/>
        <v>-27</v>
      </c>
      <c r="T33" s="690" t="s">
        <v>286</v>
      </c>
      <c r="U33" s="710">
        <f t="shared" si="20"/>
        <v>81.834960415755987</v>
      </c>
      <c r="V33" s="710">
        <f t="shared" si="20"/>
        <v>79.663862908794172</v>
      </c>
      <c r="W33" s="755">
        <f t="shared" si="21"/>
        <v>-2.1710975069618144</v>
      </c>
      <c r="X33" s="710">
        <f t="shared" si="22"/>
        <v>98.623853211009177</v>
      </c>
      <c r="Y33" s="710">
        <f t="shared" si="22"/>
        <v>79.665071770334933</v>
      </c>
      <c r="Z33" s="755">
        <f t="shared" si="23"/>
        <v>-18.958781440674244</v>
      </c>
      <c r="AA33" s="710">
        <f t="shared" si="24"/>
        <v>91.403454972912186</v>
      </c>
      <c r="AB33" s="710">
        <f t="shared" si="24"/>
        <v>90.801936434434865</v>
      </c>
      <c r="AC33" s="755">
        <f t="shared" si="25"/>
        <v>-0.60151853847732184</v>
      </c>
      <c r="AD33" s="710">
        <f t="shared" si="26"/>
        <v>83.390544546731164</v>
      </c>
      <c r="AE33" s="710">
        <f t="shared" si="26"/>
        <v>81.887640449438209</v>
      </c>
      <c r="AF33" s="755">
        <f t="shared" si="27"/>
        <v>-1.502904097292955</v>
      </c>
      <c r="AG33" s="710">
        <f t="shared" si="28"/>
        <v>73.221062618595823</v>
      </c>
      <c r="AH33" s="710">
        <f t="shared" si="28"/>
        <v>69.742408218764169</v>
      </c>
      <c r="AI33" s="755">
        <f t="shared" si="29"/>
        <v>-3.4786543998316546</v>
      </c>
      <c r="AJ33" s="710">
        <f t="shared" si="30"/>
        <v>89.057615006699422</v>
      </c>
      <c r="AK33" s="710">
        <f t="shared" si="30"/>
        <v>88.760910001430815</v>
      </c>
      <c r="AL33" s="755">
        <f t="shared" si="31"/>
        <v>-0.29670500526860621</v>
      </c>
    </row>
    <row r="34" spans="1:38">
      <c r="A34" s="690" t="s">
        <v>287</v>
      </c>
      <c r="B34" s="681">
        <f t="shared" si="14"/>
        <v>28601</v>
      </c>
      <c r="C34" s="681">
        <f t="shared" si="14"/>
        <v>31102</v>
      </c>
      <c r="D34" s="681">
        <f t="shared" si="15"/>
        <v>2501</v>
      </c>
      <c r="E34" s="679">
        <v>120</v>
      </c>
      <c r="F34" s="679">
        <v>122</v>
      </c>
      <c r="G34" s="681">
        <f t="shared" si="32"/>
        <v>2</v>
      </c>
      <c r="H34" s="679">
        <v>2700</v>
      </c>
      <c r="I34" s="679">
        <v>3014</v>
      </c>
      <c r="J34" s="681">
        <f t="shared" si="16"/>
        <v>314</v>
      </c>
      <c r="K34" s="679">
        <v>1972</v>
      </c>
      <c r="L34" s="679">
        <v>2233</v>
      </c>
      <c r="M34" s="681">
        <f t="shared" si="17"/>
        <v>261</v>
      </c>
      <c r="N34" s="679">
        <v>16154</v>
      </c>
      <c r="O34" s="679">
        <v>17288</v>
      </c>
      <c r="P34" s="681">
        <f t="shared" si="18"/>
        <v>1134</v>
      </c>
      <c r="Q34" s="679">
        <v>7655</v>
      </c>
      <c r="R34" s="679">
        <v>8445</v>
      </c>
      <c r="S34" s="681">
        <f t="shared" si="19"/>
        <v>790</v>
      </c>
      <c r="T34" s="690" t="s">
        <v>287</v>
      </c>
      <c r="U34" s="710">
        <f t="shared" si="20"/>
        <v>99.136167310752441</v>
      </c>
      <c r="V34" s="710">
        <f t="shared" si="20"/>
        <v>99.106712730375904</v>
      </c>
      <c r="W34" s="755">
        <f t="shared" si="21"/>
        <v>-2.9454580376537365E-2</v>
      </c>
      <c r="X34" s="710">
        <f t="shared" si="22"/>
        <v>100</v>
      </c>
      <c r="Y34" s="710">
        <f t="shared" si="22"/>
        <v>100</v>
      </c>
      <c r="Z34" s="755">
        <f t="shared" si="23"/>
        <v>0</v>
      </c>
      <c r="AA34" s="710">
        <f t="shared" si="24"/>
        <v>99.967686342093913</v>
      </c>
      <c r="AB34" s="710">
        <f t="shared" si="24"/>
        <v>99.990232467278759</v>
      </c>
      <c r="AC34" s="755">
        <f t="shared" si="25"/>
        <v>2.2546125184845778E-2</v>
      </c>
      <c r="AD34" s="710">
        <f t="shared" si="26"/>
        <v>99.824936782727093</v>
      </c>
      <c r="AE34" s="710">
        <f t="shared" si="26"/>
        <v>99.775746075556327</v>
      </c>
      <c r="AF34" s="755">
        <f t="shared" si="27"/>
        <v>-4.9190707170765791E-2</v>
      </c>
      <c r="AG34" s="710">
        <f t="shared" si="28"/>
        <v>98.837891771334668</v>
      </c>
      <c r="AH34" s="710">
        <f t="shared" si="28"/>
        <v>98.734244677165776</v>
      </c>
      <c r="AI34" s="755">
        <f t="shared" si="29"/>
        <v>-0.10364709416889184</v>
      </c>
      <c r="AJ34" s="710">
        <f t="shared" si="30"/>
        <v>99.051300070274067</v>
      </c>
      <c r="AK34" s="710">
        <f t="shared" si="30"/>
        <v>99.14420196833548</v>
      </c>
      <c r="AL34" s="755">
        <f t="shared" si="31"/>
        <v>9.2901898061413135E-2</v>
      </c>
    </row>
    <row r="35" spans="1:38">
      <c r="A35" s="690" t="s">
        <v>288</v>
      </c>
      <c r="B35" s="681">
        <f t="shared" si="14"/>
        <v>38326</v>
      </c>
      <c r="C35" s="681">
        <f t="shared" si="14"/>
        <v>40711</v>
      </c>
      <c r="D35" s="681">
        <f t="shared" si="15"/>
        <v>2385</v>
      </c>
      <c r="E35" s="679">
        <v>176</v>
      </c>
      <c r="F35" s="679">
        <v>170</v>
      </c>
      <c r="G35" s="681">
        <f t="shared" si="32"/>
        <v>-6</v>
      </c>
      <c r="H35" s="679">
        <v>3938</v>
      </c>
      <c r="I35" s="679">
        <v>3804</v>
      </c>
      <c r="J35" s="681">
        <f t="shared" si="16"/>
        <v>-134</v>
      </c>
      <c r="K35" s="679">
        <v>2035</v>
      </c>
      <c r="L35" s="679">
        <v>2168</v>
      </c>
      <c r="M35" s="681">
        <f t="shared" si="17"/>
        <v>133</v>
      </c>
      <c r="N35" s="679">
        <v>22211</v>
      </c>
      <c r="O35" s="679">
        <v>23376</v>
      </c>
      <c r="P35" s="681">
        <f t="shared" si="18"/>
        <v>1165</v>
      </c>
      <c r="Q35" s="679">
        <v>9966</v>
      </c>
      <c r="R35" s="679">
        <v>11193</v>
      </c>
      <c r="S35" s="681">
        <f t="shared" si="19"/>
        <v>1227</v>
      </c>
      <c r="T35" s="690" t="s">
        <v>288</v>
      </c>
      <c r="U35" s="710">
        <f t="shared" si="20"/>
        <v>97.881042202869935</v>
      </c>
      <c r="V35" s="710">
        <f t="shared" si="20"/>
        <v>98.561767889485481</v>
      </c>
      <c r="W35" s="755">
        <f t="shared" si="21"/>
        <v>0.68072568661554556</v>
      </c>
      <c r="X35" s="710">
        <f t="shared" si="22"/>
        <v>100</v>
      </c>
      <c r="Y35" s="710">
        <f t="shared" si="22"/>
        <v>100</v>
      </c>
      <c r="Z35" s="755">
        <f t="shared" si="23"/>
        <v>0</v>
      </c>
      <c r="AA35" s="710">
        <f t="shared" si="24"/>
        <v>99.958817230870594</v>
      </c>
      <c r="AB35" s="710">
        <f t="shared" si="24"/>
        <v>100</v>
      </c>
      <c r="AC35" s="755">
        <f t="shared" si="25"/>
        <v>4.1182769129406438E-2</v>
      </c>
      <c r="AD35" s="710">
        <f t="shared" si="26"/>
        <v>99.755301794453516</v>
      </c>
      <c r="AE35" s="710">
        <f t="shared" si="26"/>
        <v>99.893692416725727</v>
      </c>
      <c r="AF35" s="755">
        <f t="shared" si="27"/>
        <v>0.13839062227221177</v>
      </c>
      <c r="AG35" s="710">
        <f t="shared" si="28"/>
        <v>97.124566206108682</v>
      </c>
      <c r="AH35" s="710">
        <f t="shared" si="28"/>
        <v>97.355292420508505</v>
      </c>
      <c r="AI35" s="755">
        <f t="shared" si="29"/>
        <v>0.23072621439982299</v>
      </c>
      <c r="AJ35" s="710">
        <f t="shared" si="30"/>
        <v>97.862580980753762</v>
      </c>
      <c r="AK35" s="710">
        <f t="shared" si="30"/>
        <v>99.934418166167973</v>
      </c>
      <c r="AL35" s="755">
        <f t="shared" si="31"/>
        <v>2.0718371854142106</v>
      </c>
    </row>
    <row r="36" spans="1:38">
      <c r="A36" s="690" t="s">
        <v>289</v>
      </c>
      <c r="B36" s="681">
        <f t="shared" si="14"/>
        <v>44870</v>
      </c>
      <c r="C36" s="681">
        <f t="shared" si="14"/>
        <v>50901</v>
      </c>
      <c r="D36" s="681">
        <f t="shared" si="15"/>
        <v>6031</v>
      </c>
      <c r="E36" s="679">
        <v>102</v>
      </c>
      <c r="F36" s="679">
        <v>123</v>
      </c>
      <c r="G36" s="681">
        <f t="shared" si="32"/>
        <v>21</v>
      </c>
      <c r="H36" s="679">
        <v>3601</v>
      </c>
      <c r="I36" s="679">
        <v>3875</v>
      </c>
      <c r="J36" s="681">
        <f t="shared" si="16"/>
        <v>274</v>
      </c>
      <c r="K36" s="679">
        <v>2963</v>
      </c>
      <c r="L36" s="679">
        <v>3368</v>
      </c>
      <c r="M36" s="681">
        <f t="shared" si="17"/>
        <v>405</v>
      </c>
      <c r="N36" s="679">
        <v>22936</v>
      </c>
      <c r="O36" s="679">
        <v>26944</v>
      </c>
      <c r="P36" s="681">
        <f t="shared" si="18"/>
        <v>4008</v>
      </c>
      <c r="Q36" s="679">
        <v>15268</v>
      </c>
      <c r="R36" s="679">
        <v>16591</v>
      </c>
      <c r="S36" s="681">
        <f t="shared" si="19"/>
        <v>1323</v>
      </c>
      <c r="T36" s="690" t="s">
        <v>289</v>
      </c>
      <c r="U36" s="710">
        <f t="shared" si="20"/>
        <v>94.894812372141317</v>
      </c>
      <c r="V36" s="710">
        <f t="shared" si="20"/>
        <v>94.401958602270199</v>
      </c>
      <c r="W36" s="755">
        <f t="shared" si="21"/>
        <v>-0.49285376987111817</v>
      </c>
      <c r="X36" s="710">
        <f t="shared" si="22"/>
        <v>97.278911564625844</v>
      </c>
      <c r="Y36" s="710">
        <f t="shared" si="22"/>
        <v>97.169811320754718</v>
      </c>
      <c r="Z36" s="755">
        <f t="shared" si="23"/>
        <v>-0.10910024387112571</v>
      </c>
      <c r="AA36" s="710">
        <f t="shared" si="24"/>
        <v>98.25466425930702</v>
      </c>
      <c r="AB36" s="710">
        <f t="shared" si="24"/>
        <v>98.258229466283154</v>
      </c>
      <c r="AC36" s="755">
        <f t="shared" si="25"/>
        <v>3.5652069761340499E-3</v>
      </c>
      <c r="AD36" s="710">
        <f t="shared" si="26"/>
        <v>99.240405117270797</v>
      </c>
      <c r="AE36" s="710">
        <f t="shared" si="26"/>
        <v>99.339157706093189</v>
      </c>
      <c r="AF36" s="755">
        <f t="shared" si="27"/>
        <v>9.8752588822392795E-2</v>
      </c>
      <c r="AG36" s="710">
        <f t="shared" si="28"/>
        <v>91.00086281276964</v>
      </c>
      <c r="AH36" s="710">
        <f t="shared" si="28"/>
        <v>90.603989860024242</v>
      </c>
      <c r="AI36" s="755">
        <f t="shared" si="29"/>
        <v>-0.39687295274539736</v>
      </c>
      <c r="AJ36" s="710">
        <f t="shared" si="30"/>
        <v>98.225726959093151</v>
      </c>
      <c r="AK36" s="710">
        <f t="shared" si="30"/>
        <v>97.544636678200689</v>
      </c>
      <c r="AL36" s="755">
        <f t="shared" si="31"/>
        <v>-0.68109028089246237</v>
      </c>
    </row>
    <row r="37" spans="1:38">
      <c r="A37" s="690" t="s">
        <v>290</v>
      </c>
      <c r="B37" s="681">
        <f t="shared" si="14"/>
        <v>25947</v>
      </c>
      <c r="C37" s="681">
        <f t="shared" si="14"/>
        <v>32070</v>
      </c>
      <c r="D37" s="681">
        <f t="shared" si="15"/>
        <v>6123</v>
      </c>
      <c r="E37" s="679">
        <v>73</v>
      </c>
      <c r="F37" s="679">
        <v>76</v>
      </c>
      <c r="G37" s="681">
        <f t="shared" si="32"/>
        <v>3</v>
      </c>
      <c r="H37" s="679">
        <v>2106</v>
      </c>
      <c r="I37" s="679">
        <v>2336</v>
      </c>
      <c r="J37" s="681">
        <f t="shared" si="16"/>
        <v>230</v>
      </c>
      <c r="K37" s="679">
        <v>3942</v>
      </c>
      <c r="L37" s="679">
        <v>4253</v>
      </c>
      <c r="M37" s="681">
        <f t="shared" si="17"/>
        <v>311</v>
      </c>
      <c r="N37" s="679">
        <v>11288</v>
      </c>
      <c r="O37" s="679">
        <v>14945</v>
      </c>
      <c r="P37" s="681">
        <f t="shared" si="18"/>
        <v>3657</v>
      </c>
      <c r="Q37" s="679">
        <v>8538</v>
      </c>
      <c r="R37" s="679">
        <v>10460</v>
      </c>
      <c r="S37" s="681">
        <f t="shared" si="19"/>
        <v>1922</v>
      </c>
      <c r="T37" s="690" t="s">
        <v>290</v>
      </c>
      <c r="U37" s="710">
        <f t="shared" si="20"/>
        <v>99.816551484193383</v>
      </c>
      <c r="V37" s="710">
        <f t="shared" si="20"/>
        <v>99.913606278919929</v>
      </c>
      <c r="W37" s="755">
        <f t="shared" si="21"/>
        <v>9.7054794726545879E-2</v>
      </c>
      <c r="X37" s="710">
        <f t="shared" si="22"/>
        <v>100</v>
      </c>
      <c r="Y37" s="710">
        <f t="shared" si="22"/>
        <v>100</v>
      </c>
      <c r="Z37" s="755">
        <f t="shared" si="23"/>
        <v>0</v>
      </c>
      <c r="AA37" s="710">
        <f t="shared" si="24"/>
        <v>99.733901011176158</v>
      </c>
      <c r="AB37" s="710">
        <f t="shared" si="24"/>
        <v>99.745955341623215</v>
      </c>
      <c r="AC37" s="755">
        <f t="shared" si="25"/>
        <v>1.2054330447057282E-2</v>
      </c>
      <c r="AD37" s="710">
        <f t="shared" si="26"/>
        <v>99.480122324159026</v>
      </c>
      <c r="AE37" s="710">
        <f t="shared" si="26"/>
        <v>99.721293199554069</v>
      </c>
      <c r="AF37" s="755">
        <f t="shared" si="27"/>
        <v>0.24117087539504212</v>
      </c>
      <c r="AG37" s="710">
        <f t="shared" si="28"/>
        <v>99.886882093435389</v>
      </c>
      <c r="AH37" s="710">
        <f t="shared" si="28"/>
        <v>99.965367965367975</v>
      </c>
      <c r="AI37" s="755">
        <f t="shared" si="29"/>
        <v>7.8485871932585383E-2</v>
      </c>
      <c r="AJ37" s="710">
        <f t="shared" si="30"/>
        <v>99.921634188391408</v>
      </c>
      <c r="AK37" s="710">
        <f t="shared" si="30"/>
        <v>100</v>
      </c>
      <c r="AL37" s="755">
        <f t="shared" si="31"/>
        <v>7.8365811608591684E-2</v>
      </c>
    </row>
    <row r="38" spans="1:38">
      <c r="A38" s="690" t="s">
        <v>291</v>
      </c>
      <c r="B38" s="681">
        <f t="shared" si="14"/>
        <v>26088</v>
      </c>
      <c r="C38" s="681">
        <f t="shared" si="14"/>
        <v>31961</v>
      </c>
      <c r="D38" s="681">
        <f t="shared" si="15"/>
        <v>5873</v>
      </c>
      <c r="E38" s="679">
        <v>172</v>
      </c>
      <c r="F38" s="679">
        <v>134</v>
      </c>
      <c r="G38" s="681">
        <f t="shared" si="32"/>
        <v>-38</v>
      </c>
      <c r="H38" s="679">
        <v>2881</v>
      </c>
      <c r="I38" s="679">
        <v>2943</v>
      </c>
      <c r="J38" s="681">
        <f t="shared" si="16"/>
        <v>62</v>
      </c>
      <c r="K38" s="679">
        <v>2350</v>
      </c>
      <c r="L38" s="679">
        <v>2846</v>
      </c>
      <c r="M38" s="681">
        <f t="shared" si="17"/>
        <v>496</v>
      </c>
      <c r="N38" s="679">
        <v>11738</v>
      </c>
      <c r="O38" s="679">
        <v>15112</v>
      </c>
      <c r="P38" s="681">
        <f t="shared" si="18"/>
        <v>3374</v>
      </c>
      <c r="Q38" s="679">
        <v>8947</v>
      </c>
      <c r="R38" s="679">
        <v>10926</v>
      </c>
      <c r="S38" s="681">
        <f t="shared" si="19"/>
        <v>1979</v>
      </c>
      <c r="T38" s="690" t="s">
        <v>291</v>
      </c>
      <c r="U38" s="710">
        <f t="shared" si="20"/>
        <v>95.565291251285259</v>
      </c>
      <c r="V38" s="710">
        <f t="shared" si="20"/>
        <v>94.485169397778719</v>
      </c>
      <c r="W38" s="755">
        <f t="shared" si="21"/>
        <v>-1.0801218535065402</v>
      </c>
      <c r="X38" s="710">
        <f t="shared" si="22"/>
        <v>96.829268292682926</v>
      </c>
      <c r="Y38" s="710">
        <f t="shared" si="22"/>
        <v>95.911949685534594</v>
      </c>
      <c r="Z38" s="755">
        <f t="shared" si="23"/>
        <v>-0.91731860714833147</v>
      </c>
      <c r="AA38" s="710">
        <f t="shared" si="24"/>
        <v>89.212667692984382</v>
      </c>
      <c r="AB38" s="710">
        <f t="shared" si="24"/>
        <v>88.254727728411936</v>
      </c>
      <c r="AC38" s="755">
        <f t="shared" si="25"/>
        <v>-0.95793996457244646</v>
      </c>
      <c r="AD38" s="710">
        <f t="shared" si="26"/>
        <v>89.197804143793164</v>
      </c>
      <c r="AE38" s="710">
        <f t="shared" si="26"/>
        <v>91.447576813430473</v>
      </c>
      <c r="AF38" s="755">
        <f t="shared" si="27"/>
        <v>2.2497726696373093</v>
      </c>
      <c r="AG38" s="710">
        <f t="shared" si="28"/>
        <v>96.830411740725637</v>
      </c>
      <c r="AH38" s="710">
        <f t="shared" si="28"/>
        <v>94.418635300319593</v>
      </c>
      <c r="AI38" s="755">
        <f t="shared" si="29"/>
        <v>-2.4117764404060438</v>
      </c>
      <c r="AJ38" s="710">
        <f t="shared" si="30"/>
        <v>98.050621669627006</v>
      </c>
      <c r="AK38" s="710">
        <f t="shared" si="30"/>
        <v>97.908158635084845</v>
      </c>
      <c r="AL38" s="755">
        <f t="shared" si="31"/>
        <v>-0.14246303454216047</v>
      </c>
    </row>
    <row r="39" spans="1:38">
      <c r="A39" s="690" t="s">
        <v>292</v>
      </c>
      <c r="B39" s="681">
        <f t="shared" si="14"/>
        <v>20028</v>
      </c>
      <c r="C39" s="681">
        <f t="shared" si="14"/>
        <v>21736</v>
      </c>
      <c r="D39" s="681">
        <f t="shared" si="15"/>
        <v>1708</v>
      </c>
      <c r="E39" s="679">
        <v>31</v>
      </c>
      <c r="F39" s="679">
        <v>22</v>
      </c>
      <c r="G39" s="681">
        <f t="shared" si="32"/>
        <v>-9</v>
      </c>
      <c r="H39" s="679">
        <v>1473</v>
      </c>
      <c r="I39" s="679">
        <v>1698</v>
      </c>
      <c r="J39" s="681">
        <f t="shared" si="16"/>
        <v>225</v>
      </c>
      <c r="K39" s="679">
        <v>1752</v>
      </c>
      <c r="L39" s="679">
        <v>1958</v>
      </c>
      <c r="M39" s="681">
        <f t="shared" si="17"/>
        <v>206</v>
      </c>
      <c r="N39" s="679">
        <v>9262</v>
      </c>
      <c r="O39" s="679">
        <v>10545</v>
      </c>
      <c r="P39" s="681">
        <f t="shared" si="18"/>
        <v>1283</v>
      </c>
      <c r="Q39" s="679">
        <v>7510</v>
      </c>
      <c r="R39" s="679">
        <v>7513</v>
      </c>
      <c r="S39" s="681">
        <f t="shared" si="19"/>
        <v>3</v>
      </c>
      <c r="T39" s="690" t="s">
        <v>292</v>
      </c>
      <c r="U39" s="710">
        <f t="shared" si="20"/>
        <v>94.529828743491635</v>
      </c>
      <c r="V39" s="710">
        <f t="shared" si="20"/>
        <v>94.420040611661349</v>
      </c>
      <c r="W39" s="755">
        <f t="shared" si="21"/>
        <v>-0.10978813183028535</v>
      </c>
      <c r="X39" s="710">
        <f t="shared" si="22"/>
        <v>100</v>
      </c>
      <c r="Y39" s="710">
        <f t="shared" si="22"/>
        <v>100</v>
      </c>
      <c r="Z39" s="755">
        <f t="shared" si="23"/>
        <v>0</v>
      </c>
      <c r="AA39" s="710">
        <f t="shared" si="24"/>
        <v>90.19756838905775</v>
      </c>
      <c r="AB39" s="710">
        <f t="shared" si="24"/>
        <v>89.90887613904826</v>
      </c>
      <c r="AC39" s="755">
        <f t="shared" si="25"/>
        <v>-0.28869225000948973</v>
      </c>
      <c r="AD39" s="710">
        <f t="shared" si="26"/>
        <v>93.691333769919225</v>
      </c>
      <c r="AE39" s="710">
        <f t="shared" si="26"/>
        <v>93.946983928198705</v>
      </c>
      <c r="AF39" s="755">
        <f t="shared" si="27"/>
        <v>0.25565015827947946</v>
      </c>
      <c r="AG39" s="710">
        <f t="shared" si="28"/>
        <v>92.768300476869385</v>
      </c>
      <c r="AH39" s="710">
        <f t="shared" si="28"/>
        <v>93.110421369450719</v>
      </c>
      <c r="AI39" s="755">
        <f t="shared" si="29"/>
        <v>0.3421208925813346</v>
      </c>
      <c r="AJ39" s="710">
        <f t="shared" si="30"/>
        <v>98.063671051882224</v>
      </c>
      <c r="AK39" s="710">
        <f t="shared" si="30"/>
        <v>97.904080877820249</v>
      </c>
      <c r="AL39" s="755">
        <f t="shared" si="31"/>
        <v>-0.15959017406197518</v>
      </c>
    </row>
    <row r="40" spans="1:38">
      <c r="A40" s="691" t="s">
        <v>293</v>
      </c>
      <c r="B40" s="681">
        <f t="shared" si="14"/>
        <v>39142</v>
      </c>
      <c r="C40" s="681">
        <f t="shared" si="14"/>
        <v>43858</v>
      </c>
      <c r="D40" s="681">
        <f t="shared" si="15"/>
        <v>4716</v>
      </c>
      <c r="E40" s="679">
        <v>126</v>
      </c>
      <c r="F40" s="679">
        <v>122</v>
      </c>
      <c r="G40" s="681">
        <f t="shared" si="32"/>
        <v>-4</v>
      </c>
      <c r="H40" s="679">
        <v>3495</v>
      </c>
      <c r="I40" s="679">
        <v>3744</v>
      </c>
      <c r="J40" s="681">
        <f t="shared" si="16"/>
        <v>249</v>
      </c>
      <c r="K40" s="679">
        <v>4029</v>
      </c>
      <c r="L40" s="679">
        <v>4425</v>
      </c>
      <c r="M40" s="681">
        <f t="shared" si="17"/>
        <v>396</v>
      </c>
      <c r="N40" s="679">
        <v>18509</v>
      </c>
      <c r="O40" s="679">
        <v>21729</v>
      </c>
      <c r="P40" s="681">
        <f t="shared" si="18"/>
        <v>3220</v>
      </c>
      <c r="Q40" s="679">
        <v>12983</v>
      </c>
      <c r="R40" s="679">
        <v>13838</v>
      </c>
      <c r="S40" s="681">
        <f t="shared" si="19"/>
        <v>855</v>
      </c>
      <c r="T40" s="691" t="s">
        <v>293</v>
      </c>
      <c r="U40" s="710">
        <f t="shared" si="20"/>
        <v>92.507848484154081</v>
      </c>
      <c r="V40" s="710">
        <f t="shared" si="20"/>
        <v>91.743749284666364</v>
      </c>
      <c r="W40" s="755">
        <f t="shared" si="21"/>
        <v>-0.76409919948771687</v>
      </c>
      <c r="X40" s="710">
        <f t="shared" si="22"/>
        <v>98.769230769230759</v>
      </c>
      <c r="Y40" s="710">
        <f t="shared" si="22"/>
        <v>99.032258064516128</v>
      </c>
      <c r="Z40" s="755">
        <f t="shared" si="23"/>
        <v>0.26302729528536872</v>
      </c>
      <c r="AA40" s="710">
        <f t="shared" si="24"/>
        <v>98.959464350343822</v>
      </c>
      <c r="AB40" s="710">
        <f t="shared" si="24"/>
        <v>99.081535395546311</v>
      </c>
      <c r="AC40" s="755">
        <f t="shared" si="25"/>
        <v>0.1220710452024889</v>
      </c>
      <c r="AD40" s="710">
        <f t="shared" si="26"/>
        <v>95.706638115631691</v>
      </c>
      <c r="AE40" s="710">
        <f t="shared" si="26"/>
        <v>97.558945908460473</v>
      </c>
      <c r="AF40" s="755">
        <f t="shared" si="27"/>
        <v>1.8523077928287819</v>
      </c>
      <c r="AG40" s="710">
        <f t="shared" si="28"/>
        <v>85.947578580935797</v>
      </c>
      <c r="AH40" s="710">
        <f t="shared" si="28"/>
        <v>84.286428052325576</v>
      </c>
      <c r="AI40" s="755">
        <f t="shared" si="29"/>
        <v>-1.6611505286102215</v>
      </c>
      <c r="AJ40" s="710">
        <f t="shared" si="30"/>
        <v>98.075873858800421</v>
      </c>
      <c r="AK40" s="710">
        <f t="shared" si="30"/>
        <v>97.813743157322079</v>
      </c>
      <c r="AL40" s="755">
        <f t="shared" si="31"/>
        <v>-0.26213070147834117</v>
      </c>
    </row>
    <row r="41" spans="1:38">
      <c r="A41" s="686" t="s">
        <v>296</v>
      </c>
      <c r="B41" s="681">
        <f>SUM(B27:B40)</f>
        <v>494117</v>
      </c>
      <c r="C41" s="681">
        <f>SUM(C27:C40)</f>
        <v>537132</v>
      </c>
      <c r="D41" s="681">
        <f t="shared" si="15"/>
        <v>43015</v>
      </c>
      <c r="E41" s="681">
        <f>SUM(E27:E40)</f>
        <v>1954</v>
      </c>
      <c r="F41" s="681">
        <f>SUM(F27:F40)</f>
        <v>1755</v>
      </c>
      <c r="G41" s="681">
        <f t="shared" si="32"/>
        <v>-199</v>
      </c>
      <c r="H41" s="681">
        <f>SUM(H27:H40)</f>
        <v>43544</v>
      </c>
      <c r="I41" s="681">
        <f>SUM(I27:I40)</f>
        <v>45391</v>
      </c>
      <c r="J41" s="681">
        <f t="shared" si="16"/>
        <v>1847</v>
      </c>
      <c r="K41" s="681">
        <f>SUM(K27:K40)</f>
        <v>44037</v>
      </c>
      <c r="L41" s="681">
        <f>SUM(L27:L40)</f>
        <v>47463</v>
      </c>
      <c r="M41" s="681">
        <f t="shared" si="17"/>
        <v>3426</v>
      </c>
      <c r="N41" s="681">
        <f>SUM(N27:N40)</f>
        <v>254242</v>
      </c>
      <c r="O41" s="681">
        <f>SUM(O27:O40)</f>
        <v>279946</v>
      </c>
      <c r="P41" s="681">
        <f t="shared" si="18"/>
        <v>25704</v>
      </c>
      <c r="Q41" s="681">
        <f>SUM(Q27:Q40)</f>
        <v>150340</v>
      </c>
      <c r="R41" s="681">
        <f>SUM(R27:R40)</f>
        <v>162577</v>
      </c>
      <c r="S41" s="681">
        <f t="shared" si="19"/>
        <v>12237</v>
      </c>
      <c r="T41" s="686" t="s">
        <v>296</v>
      </c>
      <c r="U41" s="710">
        <f t="shared" si="20"/>
        <v>95.957859104753851</v>
      </c>
      <c r="V41" s="710">
        <f t="shared" si="20"/>
        <v>95.775450547648262</v>
      </c>
      <c r="W41" s="755">
        <f t="shared" si="21"/>
        <v>-0.1824085571055889</v>
      </c>
      <c r="X41" s="710">
        <f t="shared" si="22"/>
        <v>97.444664387259323</v>
      </c>
      <c r="Y41" s="710">
        <f t="shared" si="22"/>
        <v>95.825843818653894</v>
      </c>
      <c r="Z41" s="755">
        <f t="shared" si="23"/>
        <v>-1.6188205686054289</v>
      </c>
      <c r="AA41" s="710">
        <f t="shared" si="24"/>
        <v>97.047230433998138</v>
      </c>
      <c r="AB41" s="710">
        <f t="shared" si="24"/>
        <v>97.032715701547943</v>
      </c>
      <c r="AC41" s="755">
        <f t="shared" si="25"/>
        <v>-1.4514732450194856E-2</v>
      </c>
      <c r="AD41" s="710">
        <f t="shared" si="26"/>
        <v>95.397687903431674</v>
      </c>
      <c r="AE41" s="710">
        <f t="shared" si="26"/>
        <v>95.585324502868787</v>
      </c>
      <c r="AF41" s="755">
        <f t="shared" si="27"/>
        <v>0.18763659943711275</v>
      </c>
      <c r="AG41" s="710">
        <f t="shared" si="28"/>
        <v>94.478346438970107</v>
      </c>
      <c r="AH41" s="710">
        <f t="shared" si="28"/>
        <v>94.068518309512328</v>
      </c>
      <c r="AI41" s="755">
        <f t="shared" si="29"/>
        <v>-0.4098281294577788</v>
      </c>
      <c r="AJ41" s="710">
        <f t="shared" si="30"/>
        <v>98.100340237569398</v>
      </c>
      <c r="AK41" s="710">
        <f t="shared" si="30"/>
        <v>98.171157094838065</v>
      </c>
      <c r="AL41" s="755">
        <f t="shared" si="31"/>
        <v>7.0816857268667377E-2</v>
      </c>
    </row>
    <row r="42" spans="1:38">
      <c r="A42" s="692"/>
      <c r="B42" s="693"/>
      <c r="C42" s="693"/>
      <c r="D42" s="693"/>
      <c r="E42" s="693"/>
      <c r="F42" s="693"/>
      <c r="G42" s="693"/>
      <c r="H42" s="693"/>
      <c r="I42" s="693"/>
      <c r="J42" s="693"/>
      <c r="K42" s="693"/>
      <c r="L42" s="693"/>
      <c r="M42" s="693"/>
      <c r="N42" s="693"/>
      <c r="O42" s="693"/>
      <c r="P42" s="693"/>
      <c r="Q42" s="693"/>
      <c r="R42" s="693"/>
      <c r="S42" s="693"/>
      <c r="T42" s="372"/>
      <c r="U42" s="373"/>
      <c r="V42" s="373"/>
      <c r="W42" s="374"/>
      <c r="X42" s="373"/>
      <c r="Y42" s="373"/>
      <c r="Z42" s="374"/>
      <c r="AA42" s="373"/>
      <c r="AB42" s="373"/>
      <c r="AC42" s="374"/>
      <c r="AD42" s="373"/>
      <c r="AE42" s="373"/>
      <c r="AF42" s="374"/>
      <c r="AG42" s="373"/>
      <c r="AH42" s="373"/>
      <c r="AI42" s="374"/>
      <c r="AJ42" s="373"/>
      <c r="AK42" s="373"/>
      <c r="AL42" s="374"/>
    </row>
    <row r="43" spans="1:38">
      <c r="A43" s="692"/>
      <c r="B43" s="693"/>
      <c r="C43" s="693"/>
      <c r="D43" s="693"/>
      <c r="E43" s="693"/>
      <c r="F43" s="693"/>
      <c r="G43" s="693"/>
      <c r="H43" s="693"/>
      <c r="I43" s="693"/>
      <c r="J43" s="693"/>
      <c r="K43" s="693"/>
      <c r="L43" s="693"/>
      <c r="M43" s="693"/>
      <c r="N43" s="693"/>
      <c r="O43" s="693"/>
      <c r="P43" s="693"/>
      <c r="Q43" s="693"/>
      <c r="R43" s="693"/>
      <c r="S43" s="693"/>
      <c r="T43" s="372"/>
      <c r="U43" s="373"/>
      <c r="V43" s="373"/>
      <c r="W43" s="374"/>
      <c r="X43" s="373"/>
      <c r="Y43" s="373"/>
      <c r="Z43" s="374"/>
      <c r="AA43" s="373"/>
      <c r="AB43" s="373"/>
      <c r="AC43" s="374"/>
      <c r="AD43" s="373"/>
      <c r="AE43" s="373"/>
      <c r="AF43" s="374"/>
      <c r="AG43" s="373"/>
      <c r="AH43" s="373"/>
      <c r="AI43" s="374"/>
      <c r="AJ43" s="373"/>
      <c r="AK43" s="373"/>
      <c r="AL43" s="374"/>
    </row>
    <row r="44" spans="1:38">
      <c r="A44" s="692"/>
      <c r="B44" s="693"/>
      <c r="C44" s="693"/>
      <c r="D44" s="693"/>
      <c r="E44" s="693"/>
      <c r="F44" s="693"/>
      <c r="G44" s="693"/>
      <c r="H44" s="693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372"/>
      <c r="U44" s="373"/>
      <c r="V44" s="373"/>
      <c r="W44" s="374"/>
      <c r="X44" s="373"/>
      <c r="Y44" s="373"/>
      <c r="Z44" s="374"/>
      <c r="AA44" s="373"/>
      <c r="AB44" s="373"/>
      <c r="AC44" s="374"/>
      <c r="AD44" s="373"/>
      <c r="AE44" s="373"/>
      <c r="AF44" s="374"/>
      <c r="AG44" s="373"/>
      <c r="AH44" s="373"/>
      <c r="AI44" s="374"/>
      <c r="AJ44" s="373"/>
      <c r="AK44" s="373"/>
      <c r="AL44" s="374"/>
    </row>
    <row r="45" spans="1:38">
      <c r="A45" s="1547">
        <v>34</v>
      </c>
      <c r="B45" s="1547"/>
      <c r="C45" s="1547"/>
      <c r="D45" s="1547"/>
      <c r="E45" s="1547"/>
      <c r="F45" s="1547"/>
      <c r="G45" s="1547"/>
      <c r="H45" s="1547"/>
      <c r="I45" s="1547"/>
      <c r="J45" s="1547"/>
      <c r="K45" s="1547"/>
      <c r="L45" s="1547"/>
      <c r="M45" s="1547"/>
      <c r="N45" s="1547"/>
      <c r="O45" s="1547"/>
      <c r="P45" s="1547"/>
      <c r="Q45" s="1547"/>
      <c r="R45" s="1547"/>
      <c r="S45" s="1547"/>
      <c r="T45" s="1546">
        <v>36</v>
      </c>
      <c r="U45" s="1546"/>
      <c r="V45" s="1546"/>
      <c r="W45" s="1546"/>
      <c r="X45" s="1546"/>
      <c r="Y45" s="1546"/>
      <c r="Z45" s="1546"/>
      <c r="AA45" s="1546"/>
      <c r="AB45" s="1546"/>
      <c r="AC45" s="1546"/>
      <c r="AD45" s="1546"/>
      <c r="AE45" s="1546"/>
      <c r="AF45" s="1546"/>
      <c r="AG45" s="1546"/>
      <c r="AH45" s="1546"/>
      <c r="AI45" s="1546"/>
      <c r="AJ45" s="1546"/>
      <c r="AK45" s="1546"/>
      <c r="AL45" s="1546"/>
    </row>
    <row r="46" spans="1:38" ht="15.75">
      <c r="A46" s="694"/>
      <c r="B46" s="694"/>
      <c r="C46" s="694"/>
      <c r="D46" s="694"/>
      <c r="E46" s="694"/>
      <c r="F46" s="694"/>
      <c r="G46" s="695"/>
      <c r="H46" s="279" t="s">
        <v>2293</v>
      </c>
      <c r="I46" s="1170"/>
      <c r="J46" s="695"/>
      <c r="K46" s="695"/>
      <c r="L46" s="695"/>
      <c r="M46" s="695"/>
      <c r="N46" s="697"/>
      <c r="O46" s="697"/>
      <c r="P46" s="694"/>
      <c r="Q46" s="694"/>
      <c r="R46" s="694"/>
      <c r="S46" s="694"/>
    </row>
    <row r="47" spans="1:38">
      <c r="A47" s="1533"/>
      <c r="B47" s="1526" t="s">
        <v>276</v>
      </c>
      <c r="C47" s="1526"/>
      <c r="D47" s="1526"/>
      <c r="E47" s="1526" t="s">
        <v>275</v>
      </c>
      <c r="F47" s="1526"/>
      <c r="G47" s="1526"/>
      <c r="H47" s="1526"/>
      <c r="I47" s="1526"/>
      <c r="J47" s="1526"/>
      <c r="K47" s="1526"/>
      <c r="L47" s="1526"/>
      <c r="M47" s="1526"/>
      <c r="N47" s="1526"/>
      <c r="O47" s="1526"/>
      <c r="P47" s="1526"/>
      <c r="Q47" s="1526"/>
      <c r="R47" s="1526"/>
      <c r="S47" s="1536"/>
    </row>
    <row r="48" spans="1:38">
      <c r="A48" s="1534"/>
      <c r="B48" s="1526"/>
      <c r="C48" s="1526"/>
      <c r="D48" s="1526"/>
      <c r="E48" s="1526" t="s">
        <v>762</v>
      </c>
      <c r="F48" s="1526"/>
      <c r="G48" s="1526"/>
      <c r="H48" s="1526" t="s">
        <v>763</v>
      </c>
      <c r="I48" s="1526"/>
      <c r="J48" s="1526"/>
      <c r="K48" s="1526" t="s">
        <v>764</v>
      </c>
      <c r="L48" s="1526"/>
      <c r="M48" s="1526"/>
      <c r="N48" s="1526" t="s">
        <v>765</v>
      </c>
      <c r="O48" s="1526"/>
      <c r="P48" s="1526"/>
      <c r="Q48" s="1526" t="s">
        <v>772</v>
      </c>
      <c r="R48" s="1526"/>
      <c r="S48" s="1536"/>
    </row>
    <row r="49" spans="1:38">
      <c r="A49" s="1534"/>
      <c r="B49" s="1526">
        <v>2011</v>
      </c>
      <c r="C49" s="1526">
        <v>2012</v>
      </c>
      <c r="D49" s="1530" t="s">
        <v>803</v>
      </c>
      <c r="E49" s="1526">
        <v>2011</v>
      </c>
      <c r="F49" s="1526">
        <v>2012</v>
      </c>
      <c r="G49" s="1530" t="s">
        <v>803</v>
      </c>
      <c r="H49" s="1526">
        <v>2011</v>
      </c>
      <c r="I49" s="1526">
        <v>2012</v>
      </c>
      <c r="J49" s="1530" t="s">
        <v>803</v>
      </c>
      <c r="K49" s="1526">
        <v>2011</v>
      </c>
      <c r="L49" s="1526">
        <v>2012</v>
      </c>
      <c r="M49" s="1530" t="s">
        <v>803</v>
      </c>
      <c r="N49" s="1526">
        <v>2011</v>
      </c>
      <c r="O49" s="1526">
        <v>2012</v>
      </c>
      <c r="P49" s="1530" t="s">
        <v>803</v>
      </c>
      <c r="Q49" s="1526">
        <v>2011</v>
      </c>
      <c r="R49" s="1526">
        <v>2012</v>
      </c>
      <c r="S49" s="1530" t="s">
        <v>803</v>
      </c>
    </row>
    <row r="50" spans="1:38" ht="12.75" customHeight="1">
      <c r="A50" s="1535"/>
      <c r="B50" s="1526"/>
      <c r="C50" s="1526"/>
      <c r="D50" s="1531"/>
      <c r="E50" s="1526"/>
      <c r="F50" s="1526"/>
      <c r="G50" s="1531"/>
      <c r="H50" s="1526"/>
      <c r="I50" s="1526"/>
      <c r="J50" s="1531"/>
      <c r="K50" s="1526"/>
      <c r="L50" s="1526"/>
      <c r="M50" s="1531"/>
      <c r="N50" s="1526"/>
      <c r="O50" s="1526"/>
      <c r="P50" s="1531"/>
      <c r="Q50" s="1526"/>
      <c r="R50" s="1526"/>
      <c r="S50" s="1531"/>
    </row>
    <row r="51" spans="1:38">
      <c r="A51" s="689" t="s">
        <v>280</v>
      </c>
      <c r="B51" s="698">
        <f t="shared" ref="B51:C65" si="33">(B27/B7)*100</f>
        <v>39.427889291714564</v>
      </c>
      <c r="C51" s="698">
        <f t="shared" si="33"/>
        <v>44.292364406095558</v>
      </c>
      <c r="D51" s="698">
        <f t="shared" ref="D51:D65" si="34">(C51-B51)</f>
        <v>4.8644751143809941</v>
      </c>
      <c r="E51" s="698">
        <f t="shared" ref="E51:F65" si="35">(E27/E7)*100</f>
        <v>36.734693877551024</v>
      </c>
      <c r="F51" s="698">
        <f t="shared" si="35"/>
        <v>26.896551724137929</v>
      </c>
      <c r="G51" s="698">
        <f t="shared" ref="G51:G65" si="36">(F51-E51)</f>
        <v>-9.8381421534130951</v>
      </c>
      <c r="H51" s="698">
        <f t="shared" ref="H51:I65" si="37">(H27/H7)*100</f>
        <v>26.336458069419809</v>
      </c>
      <c r="I51" s="698">
        <f t="shared" si="37"/>
        <v>26.837562123986398</v>
      </c>
      <c r="J51" s="698">
        <f t="shared" ref="J51:J65" si="38">(I51-H51)</f>
        <v>0.50110405456658924</v>
      </c>
      <c r="K51" s="698">
        <f t="shared" ref="K51:L65" si="39">(K27/K7)*100</f>
        <v>38.924876728221989</v>
      </c>
      <c r="L51" s="698">
        <f t="shared" si="39"/>
        <v>39.024156441717786</v>
      </c>
      <c r="M51" s="698">
        <f t="shared" ref="M51:M65" si="40">(L51-K51)</f>
        <v>9.9279713495796784E-2</v>
      </c>
      <c r="N51" s="698">
        <f t="shared" ref="N51:O65" si="41">(N27/N7)*100</f>
        <v>40.481931483685102</v>
      </c>
      <c r="O51" s="698">
        <f t="shared" si="41"/>
        <v>46.744262141822091</v>
      </c>
      <c r="P51" s="698">
        <f t="shared" ref="P51:P65" si="42">(O51-N51)</f>
        <v>6.2623306581369889</v>
      </c>
      <c r="Q51" s="698">
        <f t="shared" ref="Q51:R65" si="43">(Q27/Q7)*100</f>
        <v>40.777612037097086</v>
      </c>
      <c r="R51" s="698">
        <f t="shared" si="43"/>
        <v>45.446732441816494</v>
      </c>
      <c r="S51" s="698">
        <f t="shared" ref="S51:S65" si="44">(R51-Q51)</f>
        <v>4.6691204047194077</v>
      </c>
    </row>
    <row r="52" spans="1:38">
      <c r="A52" s="690" t="s">
        <v>281</v>
      </c>
      <c r="B52" s="698">
        <f t="shared" si="33"/>
        <v>43.694161379221946</v>
      </c>
      <c r="C52" s="698">
        <f t="shared" si="33"/>
        <v>46.357695739191243</v>
      </c>
      <c r="D52" s="698">
        <f t="shared" si="34"/>
        <v>2.6635343599692973</v>
      </c>
      <c r="E52" s="698">
        <f t="shared" si="35"/>
        <v>32.850940665701884</v>
      </c>
      <c r="F52" s="698">
        <f t="shared" si="35"/>
        <v>37.854889589905362</v>
      </c>
      <c r="G52" s="698">
        <f t="shared" si="36"/>
        <v>5.0039489242034776</v>
      </c>
      <c r="H52" s="698">
        <f t="shared" si="37"/>
        <v>31.785336623193515</v>
      </c>
      <c r="I52" s="698">
        <f t="shared" si="37"/>
        <v>30.649434053142809</v>
      </c>
      <c r="J52" s="698">
        <f t="shared" si="38"/>
        <v>-1.1359025700507068</v>
      </c>
      <c r="K52" s="698">
        <f t="shared" si="39"/>
        <v>43.286867204695525</v>
      </c>
      <c r="L52" s="698">
        <f t="shared" si="39"/>
        <v>39.939861419793438</v>
      </c>
      <c r="M52" s="698">
        <f t="shared" si="40"/>
        <v>-3.3470057849020876</v>
      </c>
      <c r="N52" s="698">
        <f t="shared" si="41"/>
        <v>44.368879216539717</v>
      </c>
      <c r="O52" s="698">
        <f t="shared" si="41"/>
        <v>50.862618112326153</v>
      </c>
      <c r="P52" s="698">
        <f t="shared" si="42"/>
        <v>6.4937388957864357</v>
      </c>
      <c r="Q52" s="698">
        <f t="shared" si="43"/>
        <v>49.078166153296728</v>
      </c>
      <c r="R52" s="698">
        <f t="shared" si="43"/>
        <v>49.637119791241943</v>
      </c>
      <c r="S52" s="698">
        <f t="shared" si="44"/>
        <v>0.55895363794521558</v>
      </c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  <c r="AH52" s="376"/>
      <c r="AI52" s="376"/>
      <c r="AJ52" s="376"/>
      <c r="AK52" s="376"/>
      <c r="AL52" s="376"/>
    </row>
    <row r="53" spans="1:38">
      <c r="A53" s="690" t="s">
        <v>282</v>
      </c>
      <c r="B53" s="698">
        <f t="shared" si="33"/>
        <v>45.714407976378965</v>
      </c>
      <c r="C53" s="698">
        <f t="shared" si="33"/>
        <v>46.535659381057414</v>
      </c>
      <c r="D53" s="698">
        <f t="shared" si="34"/>
        <v>0.82125140467844915</v>
      </c>
      <c r="E53" s="698">
        <f t="shared" si="35"/>
        <v>35.051546391752574</v>
      </c>
      <c r="F53" s="698">
        <f t="shared" si="35"/>
        <v>28.212290502793298</v>
      </c>
      <c r="G53" s="698">
        <f t="shared" si="36"/>
        <v>-6.8392558889592756</v>
      </c>
      <c r="H53" s="698">
        <f t="shared" si="37"/>
        <v>30.097087378640776</v>
      </c>
      <c r="I53" s="698">
        <f t="shared" si="37"/>
        <v>29.094326114193663</v>
      </c>
      <c r="J53" s="698">
        <f t="shared" si="38"/>
        <v>-1.0027612644471127</v>
      </c>
      <c r="K53" s="698">
        <f t="shared" si="39"/>
        <v>43.003731343283583</v>
      </c>
      <c r="L53" s="698">
        <f t="shared" si="39"/>
        <v>42.109500805152976</v>
      </c>
      <c r="M53" s="698">
        <f t="shared" si="40"/>
        <v>-0.89423053813060704</v>
      </c>
      <c r="N53" s="698">
        <f t="shared" si="41"/>
        <v>50.117597394765411</v>
      </c>
      <c r="O53" s="698">
        <f t="shared" si="41"/>
        <v>51.334834351881632</v>
      </c>
      <c r="P53" s="698">
        <f t="shared" si="42"/>
        <v>1.2172369571162207</v>
      </c>
      <c r="Q53" s="698">
        <f t="shared" si="43"/>
        <v>47.149424197905319</v>
      </c>
      <c r="R53" s="698">
        <f t="shared" si="43"/>
        <v>49.370188943317004</v>
      </c>
      <c r="S53" s="698">
        <f t="shared" si="44"/>
        <v>2.2207647454116852</v>
      </c>
      <c r="T53" s="376"/>
      <c r="U53" s="376"/>
      <c r="V53" s="376"/>
      <c r="W53" s="376"/>
      <c r="X53" s="376"/>
      <c r="Y53" s="376"/>
      <c r="Z53" s="376"/>
      <c r="AA53" s="376"/>
      <c r="AB53" s="376"/>
      <c r="AC53" s="376"/>
      <c r="AD53" s="376"/>
      <c r="AE53" s="376"/>
      <c r="AF53" s="376"/>
      <c r="AG53" s="376"/>
      <c r="AH53" s="376"/>
      <c r="AI53" s="376"/>
      <c r="AJ53" s="376"/>
      <c r="AK53" s="376"/>
      <c r="AL53" s="376"/>
    </row>
    <row r="54" spans="1:38">
      <c r="A54" s="690" t="s">
        <v>283</v>
      </c>
      <c r="B54" s="698">
        <f t="shared" si="33"/>
        <v>44.824671907639804</v>
      </c>
      <c r="C54" s="698">
        <f t="shared" si="33"/>
        <v>47.685499377898424</v>
      </c>
      <c r="D54" s="698">
        <f t="shared" si="34"/>
        <v>2.8608274702586201</v>
      </c>
      <c r="E54" s="698">
        <f t="shared" si="35"/>
        <v>37.804878048780488</v>
      </c>
      <c r="F54" s="698">
        <f t="shared" si="35"/>
        <v>42.424242424242422</v>
      </c>
      <c r="G54" s="698">
        <f t="shared" si="36"/>
        <v>4.6193643754619345</v>
      </c>
      <c r="H54" s="698">
        <f t="shared" si="37"/>
        <v>30.787375042120637</v>
      </c>
      <c r="I54" s="698">
        <f t="shared" si="37"/>
        <v>30.105374077976816</v>
      </c>
      <c r="J54" s="698">
        <f t="shared" si="38"/>
        <v>-0.68200096414382116</v>
      </c>
      <c r="K54" s="698">
        <f t="shared" si="39"/>
        <v>40.136054421768705</v>
      </c>
      <c r="L54" s="698">
        <f t="shared" si="39"/>
        <v>39.852993904625308</v>
      </c>
      <c r="M54" s="698">
        <f t="shared" si="40"/>
        <v>-0.28306051714339731</v>
      </c>
      <c r="N54" s="698">
        <f t="shared" si="41"/>
        <v>48.138409760201931</v>
      </c>
      <c r="O54" s="698">
        <f t="shared" si="41"/>
        <v>51.674495211370711</v>
      </c>
      <c r="P54" s="698">
        <f t="shared" si="42"/>
        <v>3.5360854511687805</v>
      </c>
      <c r="Q54" s="698">
        <f t="shared" si="43"/>
        <v>47.599800399201598</v>
      </c>
      <c r="R54" s="698">
        <f t="shared" si="43"/>
        <v>51.24801552301993</v>
      </c>
      <c r="S54" s="698">
        <f t="shared" si="44"/>
        <v>3.648215123818332</v>
      </c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  <c r="AH54" s="376"/>
      <c r="AI54" s="376"/>
      <c r="AJ54" s="376"/>
      <c r="AK54" s="376"/>
      <c r="AL54" s="376"/>
    </row>
    <row r="55" spans="1:38">
      <c r="A55" s="690" t="s">
        <v>284</v>
      </c>
      <c r="B55" s="698">
        <f t="shared" si="33"/>
        <v>42.300207971005683</v>
      </c>
      <c r="C55" s="698">
        <f t="shared" si="33"/>
        <v>41.044337218347046</v>
      </c>
      <c r="D55" s="698">
        <f t="shared" si="34"/>
        <v>-1.2558707526586375</v>
      </c>
      <c r="E55" s="698">
        <f t="shared" si="35"/>
        <v>33.496732026143789</v>
      </c>
      <c r="F55" s="698">
        <f t="shared" si="35"/>
        <v>32.761904761904766</v>
      </c>
      <c r="G55" s="698">
        <f t="shared" si="36"/>
        <v>-0.73482726423902278</v>
      </c>
      <c r="H55" s="698">
        <f t="shared" si="37"/>
        <v>28.241483287354846</v>
      </c>
      <c r="I55" s="698">
        <f t="shared" si="37"/>
        <v>28.564072858338164</v>
      </c>
      <c r="J55" s="698">
        <f t="shared" si="38"/>
        <v>0.3225895709833182</v>
      </c>
      <c r="K55" s="698">
        <f t="shared" si="39"/>
        <v>36.928923050349773</v>
      </c>
      <c r="L55" s="698">
        <f t="shared" si="39"/>
        <v>37.079510703363916</v>
      </c>
      <c r="M55" s="698">
        <f t="shared" si="40"/>
        <v>0.15058765301414212</v>
      </c>
      <c r="N55" s="698">
        <f t="shared" si="41"/>
        <v>44.866794473458057</v>
      </c>
      <c r="O55" s="698">
        <f t="shared" si="41"/>
        <v>42.90655069684621</v>
      </c>
      <c r="P55" s="698">
        <f t="shared" si="42"/>
        <v>-1.960243776611847</v>
      </c>
      <c r="Q55" s="698">
        <f t="shared" si="43"/>
        <v>43.471441641615478</v>
      </c>
      <c r="R55" s="698">
        <f t="shared" si="43"/>
        <v>42.960221149791501</v>
      </c>
      <c r="S55" s="698">
        <f t="shared" si="44"/>
        <v>-0.51122049182397689</v>
      </c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</row>
    <row r="56" spans="1:38">
      <c r="A56" s="690" t="s">
        <v>285</v>
      </c>
      <c r="B56" s="698">
        <f t="shared" si="33"/>
        <v>40.340333262626977</v>
      </c>
      <c r="C56" s="698">
        <f t="shared" si="33"/>
        <v>40.918267289611812</v>
      </c>
      <c r="D56" s="698">
        <f t="shared" si="34"/>
        <v>0.57793402698483476</v>
      </c>
      <c r="E56" s="698">
        <f t="shared" si="35"/>
        <v>35.834411384217333</v>
      </c>
      <c r="F56" s="698">
        <f t="shared" si="35"/>
        <v>35.579937304075237</v>
      </c>
      <c r="G56" s="698">
        <f t="shared" si="36"/>
        <v>-0.25447408014209572</v>
      </c>
      <c r="H56" s="698">
        <f t="shared" si="37"/>
        <v>29.336365515815586</v>
      </c>
      <c r="I56" s="698">
        <f t="shared" si="37"/>
        <v>28.480326509788917</v>
      </c>
      <c r="J56" s="698">
        <f t="shared" si="38"/>
        <v>-0.85603900602666982</v>
      </c>
      <c r="K56" s="698">
        <f t="shared" si="39"/>
        <v>37.744374769457764</v>
      </c>
      <c r="L56" s="698">
        <f t="shared" si="39"/>
        <v>36.406396989651931</v>
      </c>
      <c r="M56" s="698">
        <f t="shared" si="40"/>
        <v>-1.3379777798058328</v>
      </c>
      <c r="N56" s="698">
        <f t="shared" si="41"/>
        <v>45.780396665708537</v>
      </c>
      <c r="O56" s="698">
        <f t="shared" si="41"/>
        <v>45.987871950359612</v>
      </c>
      <c r="P56" s="698">
        <f t="shared" si="42"/>
        <v>0.20747528465107479</v>
      </c>
      <c r="Q56" s="698">
        <f t="shared" si="43"/>
        <v>40.426065162907271</v>
      </c>
      <c r="R56" s="698">
        <f t="shared" si="43"/>
        <v>43.996037557067794</v>
      </c>
      <c r="S56" s="698">
        <f t="shared" si="44"/>
        <v>3.5699723941605228</v>
      </c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  <c r="AI56" s="376"/>
      <c r="AJ56" s="376"/>
      <c r="AK56" s="376"/>
      <c r="AL56" s="376"/>
    </row>
    <row r="57" spans="1:38">
      <c r="A57" s="690" t="s">
        <v>286</v>
      </c>
      <c r="B57" s="698">
        <f t="shared" si="33"/>
        <v>46.118477504168894</v>
      </c>
      <c r="C57" s="698">
        <f t="shared" si="33"/>
        <v>44.017952419810428</v>
      </c>
      <c r="D57" s="698">
        <f t="shared" si="34"/>
        <v>-2.1005250843584662</v>
      </c>
      <c r="E57" s="698">
        <f t="shared" si="35"/>
        <v>37.155963302752291</v>
      </c>
      <c r="F57" s="698">
        <f t="shared" si="35"/>
        <v>29.425837320574161</v>
      </c>
      <c r="G57" s="698">
        <f t="shared" si="36"/>
        <v>-7.7301259821781301</v>
      </c>
      <c r="H57" s="698">
        <f t="shared" si="37"/>
        <v>32.975569866094247</v>
      </c>
      <c r="I57" s="698">
        <f t="shared" si="37"/>
        <v>32.572090086297621</v>
      </c>
      <c r="J57" s="698">
        <f t="shared" si="38"/>
        <v>-0.4034797797966263</v>
      </c>
      <c r="K57" s="698">
        <f t="shared" si="39"/>
        <v>41.644562334217504</v>
      </c>
      <c r="L57" s="698">
        <f t="shared" si="39"/>
        <v>42.142322097378276</v>
      </c>
      <c r="M57" s="698">
        <f t="shared" si="40"/>
        <v>0.4977597631607722</v>
      </c>
      <c r="N57" s="698">
        <f t="shared" si="41"/>
        <v>51.304554079696395</v>
      </c>
      <c r="O57" s="698">
        <f t="shared" si="41"/>
        <v>47.027496600694967</v>
      </c>
      <c r="P57" s="698">
        <f t="shared" si="42"/>
        <v>-4.277057479001428</v>
      </c>
      <c r="Q57" s="698">
        <f t="shared" si="43"/>
        <v>50.483846955486079</v>
      </c>
      <c r="R57" s="698">
        <f t="shared" si="43"/>
        <v>48.325940764057805</v>
      </c>
      <c r="S57" s="698">
        <f t="shared" si="44"/>
        <v>-2.1579061914282747</v>
      </c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6"/>
      <c r="AG57" s="376"/>
      <c r="AH57" s="376"/>
      <c r="AI57" s="376"/>
      <c r="AJ57" s="376"/>
      <c r="AK57" s="376"/>
      <c r="AL57" s="376"/>
    </row>
    <row r="58" spans="1:38">
      <c r="A58" s="690" t="s">
        <v>287</v>
      </c>
      <c r="B58" s="698">
        <f t="shared" si="33"/>
        <v>43.344699552928695</v>
      </c>
      <c r="C58" s="698">
        <f t="shared" si="33"/>
        <v>42.808968659243249</v>
      </c>
      <c r="D58" s="698">
        <f t="shared" si="34"/>
        <v>-0.53573089368544657</v>
      </c>
      <c r="E58" s="698">
        <f t="shared" si="35"/>
        <v>29.411764705882355</v>
      </c>
      <c r="F58" s="698">
        <f t="shared" si="35"/>
        <v>30.886075949367086</v>
      </c>
      <c r="G58" s="698">
        <f t="shared" si="36"/>
        <v>1.4743112434847312</v>
      </c>
      <c r="H58" s="698">
        <f t="shared" si="37"/>
        <v>29.082292115467475</v>
      </c>
      <c r="I58" s="698">
        <f t="shared" si="37"/>
        <v>29.439343621801132</v>
      </c>
      <c r="J58" s="698">
        <f t="shared" si="38"/>
        <v>0.3570515063336579</v>
      </c>
      <c r="K58" s="698">
        <f t="shared" si="39"/>
        <v>38.358296051351878</v>
      </c>
      <c r="L58" s="698">
        <f t="shared" si="39"/>
        <v>38.519924098671723</v>
      </c>
      <c r="M58" s="698">
        <f t="shared" si="40"/>
        <v>0.16162804731984437</v>
      </c>
      <c r="N58" s="698">
        <f t="shared" si="41"/>
        <v>47.405798802676372</v>
      </c>
      <c r="O58" s="698">
        <f t="shared" si="41"/>
        <v>46.068164255069682</v>
      </c>
      <c r="P58" s="698">
        <f t="shared" si="42"/>
        <v>-1.3376345476066902</v>
      </c>
      <c r="Q58" s="698">
        <f t="shared" si="43"/>
        <v>44.828999765753103</v>
      </c>
      <c r="R58" s="698">
        <f t="shared" si="43"/>
        <v>45.170089858793325</v>
      </c>
      <c r="S58" s="698">
        <f t="shared" si="44"/>
        <v>0.34109009304022209</v>
      </c>
      <c r="T58" s="376"/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6"/>
      <c r="AF58" s="376"/>
      <c r="AG58" s="376"/>
      <c r="AH58" s="376"/>
      <c r="AI58" s="376"/>
      <c r="AJ58" s="376"/>
      <c r="AK58" s="376"/>
      <c r="AL58" s="376"/>
    </row>
    <row r="59" spans="1:38">
      <c r="A59" s="690" t="s">
        <v>288</v>
      </c>
      <c r="B59" s="698">
        <f t="shared" si="33"/>
        <v>45.042249879537891</v>
      </c>
      <c r="C59" s="698">
        <f t="shared" si="33"/>
        <v>43.630303614871018</v>
      </c>
      <c r="D59" s="698">
        <f t="shared" si="34"/>
        <v>-1.4119462646668737</v>
      </c>
      <c r="E59" s="698">
        <f t="shared" si="35"/>
        <v>34.920634920634917</v>
      </c>
      <c r="F59" s="698">
        <f t="shared" si="35"/>
        <v>35.639412997903563</v>
      </c>
      <c r="G59" s="698">
        <f t="shared" si="36"/>
        <v>0.71877807726864518</v>
      </c>
      <c r="H59" s="698">
        <f t="shared" si="37"/>
        <v>32.435548966312496</v>
      </c>
      <c r="I59" s="698">
        <f t="shared" si="37"/>
        <v>29.534161490683232</v>
      </c>
      <c r="J59" s="698">
        <f t="shared" si="38"/>
        <v>-2.9013874756292637</v>
      </c>
      <c r="K59" s="698">
        <f t="shared" si="39"/>
        <v>41.496737357259377</v>
      </c>
      <c r="L59" s="698">
        <f t="shared" si="39"/>
        <v>38.412473423104181</v>
      </c>
      <c r="M59" s="698">
        <f t="shared" si="40"/>
        <v>-3.0842639341551958</v>
      </c>
      <c r="N59" s="698">
        <f t="shared" si="41"/>
        <v>47.875757118530814</v>
      </c>
      <c r="O59" s="698">
        <f t="shared" si="41"/>
        <v>46.835366953176653</v>
      </c>
      <c r="P59" s="698">
        <f t="shared" si="42"/>
        <v>-1.040390165354161</v>
      </c>
      <c r="Q59" s="698">
        <f t="shared" si="43"/>
        <v>47.127252092495389</v>
      </c>
      <c r="R59" s="698">
        <f t="shared" si="43"/>
        <v>45.878591630118457</v>
      </c>
      <c r="S59" s="698">
        <f t="shared" si="44"/>
        <v>-1.2486604623769324</v>
      </c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76"/>
      <c r="AH59" s="376"/>
      <c r="AI59" s="376"/>
      <c r="AJ59" s="376"/>
      <c r="AK59" s="376"/>
      <c r="AL59" s="376"/>
    </row>
    <row r="60" spans="1:38">
      <c r="A60" s="690" t="s">
        <v>289</v>
      </c>
      <c r="B60" s="698">
        <f t="shared" si="33"/>
        <v>45.667816758775814</v>
      </c>
      <c r="C60" s="698">
        <f t="shared" si="33"/>
        <v>45.315824616069442</v>
      </c>
      <c r="D60" s="698">
        <f t="shared" si="34"/>
        <v>-0.35199214270637214</v>
      </c>
      <c r="E60" s="698">
        <f t="shared" si="35"/>
        <v>34.693877551020407</v>
      </c>
      <c r="F60" s="698">
        <f t="shared" si="35"/>
        <v>38.679245283018872</v>
      </c>
      <c r="G60" s="698">
        <f t="shared" si="36"/>
        <v>3.9853677319984655</v>
      </c>
      <c r="H60" s="698">
        <f t="shared" si="37"/>
        <v>30.960364543031556</v>
      </c>
      <c r="I60" s="698">
        <f t="shared" si="37"/>
        <v>30.9603707254714</v>
      </c>
      <c r="J60" s="698">
        <f t="shared" si="38"/>
        <v>6.1824398436272077E-6</v>
      </c>
      <c r="K60" s="698">
        <f t="shared" si="39"/>
        <v>39.485607675906181</v>
      </c>
      <c r="L60" s="698">
        <f t="shared" si="39"/>
        <v>37.724014336917563</v>
      </c>
      <c r="M60" s="698">
        <f t="shared" si="40"/>
        <v>-1.761593338988618</v>
      </c>
      <c r="N60" s="698">
        <f t="shared" si="41"/>
        <v>49.473684210526315</v>
      </c>
      <c r="O60" s="698">
        <f t="shared" si="41"/>
        <v>49.494838164517432</v>
      </c>
      <c r="P60" s="698">
        <f t="shared" si="42"/>
        <v>2.1153953991117191E-2</v>
      </c>
      <c r="Q60" s="698">
        <f t="shared" si="43"/>
        <v>47.030556924593398</v>
      </c>
      <c r="R60" s="698">
        <f t="shared" si="43"/>
        <v>45.926643598615918</v>
      </c>
      <c r="S60" s="698">
        <f t="shared" si="44"/>
        <v>-1.10391332597748</v>
      </c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76"/>
      <c r="AH60" s="376"/>
      <c r="AI60" s="376"/>
      <c r="AJ60" s="376"/>
      <c r="AK60" s="376"/>
      <c r="AL60" s="376"/>
    </row>
    <row r="61" spans="1:38">
      <c r="A61" s="690" t="s">
        <v>290</v>
      </c>
      <c r="B61" s="698">
        <f t="shared" si="33"/>
        <v>41.033953789951447</v>
      </c>
      <c r="C61" s="698">
        <f t="shared" si="33"/>
        <v>46.960112458267439</v>
      </c>
      <c r="D61" s="698">
        <f t="shared" si="34"/>
        <v>5.9261586683159919</v>
      </c>
      <c r="E61" s="698">
        <f t="shared" si="35"/>
        <v>29.795918367346943</v>
      </c>
      <c r="F61" s="698">
        <f t="shared" si="35"/>
        <v>35.514018691588781</v>
      </c>
      <c r="G61" s="698">
        <f t="shared" si="36"/>
        <v>5.7181003242418385</v>
      </c>
      <c r="H61" s="698">
        <f t="shared" si="37"/>
        <v>28.020223523150612</v>
      </c>
      <c r="I61" s="698">
        <f t="shared" si="37"/>
        <v>31.234122208851449</v>
      </c>
      <c r="J61" s="698">
        <f t="shared" si="38"/>
        <v>3.2138986857008369</v>
      </c>
      <c r="K61" s="698">
        <f t="shared" si="39"/>
        <v>40.183486238532112</v>
      </c>
      <c r="L61" s="698">
        <f t="shared" si="39"/>
        <v>39.511334076551471</v>
      </c>
      <c r="M61" s="698">
        <f t="shared" si="40"/>
        <v>-0.67215216198064098</v>
      </c>
      <c r="N61" s="698">
        <f t="shared" si="41"/>
        <v>42.562497643376943</v>
      </c>
      <c r="O61" s="698">
        <f t="shared" si="41"/>
        <v>51.757575757575758</v>
      </c>
      <c r="P61" s="698">
        <f t="shared" si="42"/>
        <v>9.1950781141988145</v>
      </c>
      <c r="Q61" s="698">
        <f t="shared" si="43"/>
        <v>44.605819967608795</v>
      </c>
      <c r="R61" s="698">
        <f t="shared" si="43"/>
        <v>49.904580152671755</v>
      </c>
      <c r="S61" s="698">
        <f t="shared" si="44"/>
        <v>5.2987601850629602</v>
      </c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</row>
    <row r="62" spans="1:38">
      <c r="A62" s="690" t="s">
        <v>291</v>
      </c>
      <c r="B62" s="698">
        <f t="shared" si="33"/>
        <v>38.875229111717111</v>
      </c>
      <c r="C62" s="698">
        <f t="shared" si="33"/>
        <v>47.140813286331657</v>
      </c>
      <c r="D62" s="698">
        <f t="shared" si="34"/>
        <v>8.2655841746145455</v>
      </c>
      <c r="E62" s="698">
        <f t="shared" si="35"/>
        <v>41.951219512195124</v>
      </c>
      <c r="F62" s="698">
        <f t="shared" si="35"/>
        <v>42.138364779874216</v>
      </c>
      <c r="G62" s="698">
        <f t="shared" si="36"/>
        <v>0.18714526767909234</v>
      </c>
      <c r="H62" s="698">
        <f t="shared" si="37"/>
        <v>31.680228722234439</v>
      </c>
      <c r="I62" s="698">
        <f t="shared" si="37"/>
        <v>33.526999316473002</v>
      </c>
      <c r="J62" s="698">
        <f t="shared" si="38"/>
        <v>1.8467705942385635</v>
      </c>
      <c r="K62" s="698">
        <f t="shared" si="39"/>
        <v>41.615016823091906</v>
      </c>
      <c r="L62" s="698">
        <f t="shared" si="39"/>
        <v>45.074437757364585</v>
      </c>
      <c r="M62" s="698">
        <f t="shared" si="40"/>
        <v>3.4594209342726785</v>
      </c>
      <c r="N62" s="698">
        <f t="shared" si="41"/>
        <v>39.876341894279115</v>
      </c>
      <c r="O62" s="698">
        <f t="shared" si="41"/>
        <v>49.79078119337089</v>
      </c>
      <c r="P62" s="698">
        <f t="shared" si="42"/>
        <v>9.9144392990917751</v>
      </c>
      <c r="Q62" s="698">
        <f t="shared" si="43"/>
        <v>39.729129662522197</v>
      </c>
      <c r="R62" s="698">
        <f t="shared" si="43"/>
        <v>49.578001633542065</v>
      </c>
      <c r="S62" s="698">
        <f t="shared" si="44"/>
        <v>9.848871971019868</v>
      </c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</row>
    <row r="63" spans="1:38">
      <c r="A63" s="690" t="s">
        <v>292</v>
      </c>
      <c r="B63" s="698">
        <f t="shared" si="33"/>
        <v>41.879430399598519</v>
      </c>
      <c r="C63" s="698">
        <f t="shared" si="33"/>
        <v>45.037503626041193</v>
      </c>
      <c r="D63" s="698">
        <f t="shared" si="34"/>
        <v>3.1580732264426743</v>
      </c>
      <c r="E63" s="698">
        <f t="shared" si="35"/>
        <v>39.743589743589745</v>
      </c>
      <c r="F63" s="698">
        <f t="shared" si="35"/>
        <v>37.288135593220339</v>
      </c>
      <c r="G63" s="698">
        <f t="shared" si="36"/>
        <v>-2.4554541503694054</v>
      </c>
      <c r="H63" s="698">
        <f t="shared" si="37"/>
        <v>27.982522796352583</v>
      </c>
      <c r="I63" s="698">
        <f t="shared" si="37"/>
        <v>28.653391832602093</v>
      </c>
      <c r="J63" s="698">
        <f t="shared" si="38"/>
        <v>0.67086903624950978</v>
      </c>
      <c r="K63" s="698">
        <f t="shared" si="39"/>
        <v>38.244924688932549</v>
      </c>
      <c r="L63" s="698">
        <f t="shared" si="39"/>
        <v>40.868294719265293</v>
      </c>
      <c r="M63" s="698">
        <f t="shared" si="40"/>
        <v>2.6233700303327439</v>
      </c>
      <c r="N63" s="698">
        <f t="shared" si="41"/>
        <v>45.533651246251409</v>
      </c>
      <c r="O63" s="698">
        <f t="shared" si="41"/>
        <v>49.590857787810386</v>
      </c>
      <c r="P63" s="698">
        <f t="shared" si="42"/>
        <v>4.0572065415589762</v>
      </c>
      <c r="Q63" s="698">
        <f t="shared" si="43"/>
        <v>42.770089412836718</v>
      </c>
      <c r="R63" s="698">
        <f t="shared" si="43"/>
        <v>46.313648132166193</v>
      </c>
      <c r="S63" s="698">
        <f t="shared" si="44"/>
        <v>3.5435587193294751</v>
      </c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</row>
    <row r="64" spans="1:38">
      <c r="A64" s="691" t="s">
        <v>293</v>
      </c>
      <c r="B64" s="698">
        <f t="shared" si="33"/>
        <v>44.847498796947683</v>
      </c>
      <c r="C64" s="698">
        <f t="shared" si="33"/>
        <v>45.633603512678313</v>
      </c>
      <c r="D64" s="698">
        <f t="shared" si="34"/>
        <v>0.78610471573063023</v>
      </c>
      <c r="E64" s="698">
        <f t="shared" si="35"/>
        <v>38.769230769230766</v>
      </c>
      <c r="F64" s="698">
        <f t="shared" si="35"/>
        <v>39.354838709677423</v>
      </c>
      <c r="G64" s="698">
        <f t="shared" si="36"/>
        <v>0.58560794044665698</v>
      </c>
      <c r="H64" s="698">
        <f t="shared" si="37"/>
        <v>31.623235613463624</v>
      </c>
      <c r="I64" s="698">
        <f t="shared" si="37"/>
        <v>32.440863010137768</v>
      </c>
      <c r="J64" s="698">
        <f t="shared" si="38"/>
        <v>0.81762739667414408</v>
      </c>
      <c r="K64" s="698">
        <f t="shared" si="39"/>
        <v>43.137044967880087</v>
      </c>
      <c r="L64" s="698">
        <f t="shared" si="39"/>
        <v>40.915395284327325</v>
      </c>
      <c r="M64" s="698">
        <f t="shared" si="40"/>
        <v>-2.2216496835527622</v>
      </c>
      <c r="N64" s="698">
        <f t="shared" si="41"/>
        <v>47.376369407187468</v>
      </c>
      <c r="O64" s="698">
        <f t="shared" si="41"/>
        <v>49.348201308139537</v>
      </c>
      <c r="P64" s="698">
        <f t="shared" si="42"/>
        <v>1.9718319009520684</v>
      </c>
      <c r="Q64" s="698">
        <f t="shared" si="43"/>
        <v>47.222929472956757</v>
      </c>
      <c r="R64" s="698">
        <f t="shared" si="43"/>
        <v>47.050423311006085</v>
      </c>
      <c r="S64" s="698">
        <f t="shared" si="44"/>
        <v>-0.17250616195067181</v>
      </c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76"/>
      <c r="AH64" s="376"/>
      <c r="AI64" s="376"/>
      <c r="AJ64" s="376"/>
      <c r="AK64" s="376"/>
      <c r="AL64" s="376"/>
    </row>
    <row r="65" spans="1:38">
      <c r="A65" s="686" t="s">
        <v>296</v>
      </c>
      <c r="B65" s="698">
        <f t="shared" si="33"/>
        <v>42.975589730744275</v>
      </c>
      <c r="C65" s="698">
        <f t="shared" si="33"/>
        <v>44.492082438395265</v>
      </c>
      <c r="D65" s="698">
        <f t="shared" si="34"/>
        <v>1.5164927076509898</v>
      </c>
      <c r="E65" s="698">
        <f t="shared" si="35"/>
        <v>35.162857657009177</v>
      </c>
      <c r="F65" s="698">
        <f t="shared" si="35"/>
        <v>35.050928699820247</v>
      </c>
      <c r="G65" s="698">
        <f t="shared" si="36"/>
        <v>-0.1119289571889297</v>
      </c>
      <c r="H65" s="698">
        <f t="shared" si="37"/>
        <v>30.217484837129255</v>
      </c>
      <c r="I65" s="698">
        <f t="shared" si="37"/>
        <v>30.091153170473</v>
      </c>
      <c r="J65" s="698">
        <f t="shared" si="38"/>
        <v>-0.12633166665625595</v>
      </c>
      <c r="K65" s="698">
        <f t="shared" si="39"/>
        <v>40.148973414536307</v>
      </c>
      <c r="L65" s="698">
        <f t="shared" si="39"/>
        <v>39.639376299723558</v>
      </c>
      <c r="M65" s="698">
        <f t="shared" si="40"/>
        <v>-0.50959711481274894</v>
      </c>
      <c r="N65" s="698">
        <f t="shared" si="41"/>
        <v>45.779756877983431</v>
      </c>
      <c r="O65" s="698">
        <f t="shared" si="41"/>
        <v>47.87218397408931</v>
      </c>
      <c r="P65" s="698">
        <f t="shared" si="42"/>
        <v>2.0924270961058795</v>
      </c>
      <c r="Q65" s="698">
        <f t="shared" si="43"/>
        <v>44.869575598400289</v>
      </c>
      <c r="R65" s="698">
        <f t="shared" si="43"/>
        <v>46.867558794531924</v>
      </c>
      <c r="S65" s="698">
        <f t="shared" si="44"/>
        <v>1.997983196131635</v>
      </c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  <c r="AI65" s="376"/>
      <c r="AJ65" s="376"/>
      <c r="AK65" s="376"/>
      <c r="AL65" s="376"/>
    </row>
    <row r="66" spans="1:38" ht="15.75">
      <c r="D66" s="696" t="s">
        <v>806</v>
      </c>
      <c r="H66" s="279" t="s">
        <v>2294</v>
      </c>
      <c r="I66" s="697"/>
      <c r="J66" s="697"/>
      <c r="K66" s="697"/>
      <c r="L66" s="697"/>
    </row>
    <row r="67" spans="1:38">
      <c r="A67" s="1525"/>
      <c r="B67" s="1526" t="s">
        <v>294</v>
      </c>
      <c r="C67" s="1526"/>
      <c r="D67" s="1526"/>
      <c r="E67" s="1527" t="s">
        <v>275</v>
      </c>
      <c r="F67" s="1527"/>
      <c r="G67" s="1527"/>
      <c r="H67" s="1527"/>
      <c r="I67" s="1527"/>
      <c r="J67" s="1527"/>
      <c r="K67" s="1527"/>
      <c r="L67" s="1527"/>
      <c r="M67" s="1527"/>
      <c r="N67" s="1527"/>
      <c r="O67" s="1527"/>
      <c r="P67" s="1527"/>
      <c r="Q67" s="1527"/>
      <c r="R67" s="1527"/>
      <c r="S67" s="1528"/>
    </row>
    <row r="68" spans="1:38">
      <c r="A68" s="1525"/>
      <c r="B68" s="1526"/>
      <c r="C68" s="1526"/>
      <c r="D68" s="1526"/>
      <c r="E68" s="1526" t="s">
        <v>768</v>
      </c>
      <c r="F68" s="1526"/>
      <c r="G68" s="1529"/>
      <c r="H68" s="1526" t="s">
        <v>769</v>
      </c>
      <c r="I68" s="1526"/>
      <c r="J68" s="1529"/>
      <c r="K68" s="1526" t="s">
        <v>770</v>
      </c>
      <c r="L68" s="1526"/>
      <c r="M68" s="1529"/>
      <c r="N68" s="1526" t="s">
        <v>791</v>
      </c>
      <c r="O68" s="1526"/>
      <c r="P68" s="1529"/>
      <c r="Q68" s="1526" t="s">
        <v>792</v>
      </c>
      <c r="R68" s="1526"/>
      <c r="S68" s="1532"/>
    </row>
    <row r="69" spans="1:38">
      <c r="A69" s="1525"/>
      <c r="B69" s="1526">
        <v>2011</v>
      </c>
      <c r="C69" s="1526">
        <v>2012</v>
      </c>
      <c r="D69" s="1530" t="s">
        <v>803</v>
      </c>
      <c r="E69" s="1526">
        <v>2011</v>
      </c>
      <c r="F69" s="1526">
        <v>2012</v>
      </c>
      <c r="G69" s="1530" t="s">
        <v>803</v>
      </c>
      <c r="H69" s="1526">
        <v>2011</v>
      </c>
      <c r="I69" s="1526">
        <v>2012</v>
      </c>
      <c r="J69" s="1530" t="s">
        <v>803</v>
      </c>
      <c r="K69" s="1526">
        <v>2011</v>
      </c>
      <c r="L69" s="1526">
        <v>2012</v>
      </c>
      <c r="M69" s="1530" t="s">
        <v>803</v>
      </c>
      <c r="N69" s="1526">
        <v>2011</v>
      </c>
      <c r="O69" s="1526">
        <v>2012</v>
      </c>
      <c r="P69" s="1530" t="s">
        <v>803</v>
      </c>
      <c r="Q69" s="1526">
        <v>2011</v>
      </c>
      <c r="R69" s="1526">
        <v>2012</v>
      </c>
      <c r="S69" s="1530" t="s">
        <v>803</v>
      </c>
    </row>
    <row r="70" spans="1:38" ht="12.75" customHeight="1">
      <c r="A70" s="1525"/>
      <c r="B70" s="1526"/>
      <c r="C70" s="1526"/>
      <c r="D70" s="1531"/>
      <c r="E70" s="1526"/>
      <c r="F70" s="1526"/>
      <c r="G70" s="1531"/>
      <c r="H70" s="1526"/>
      <c r="I70" s="1526"/>
      <c r="J70" s="1531"/>
      <c r="K70" s="1526"/>
      <c r="L70" s="1526"/>
      <c r="M70" s="1531"/>
      <c r="N70" s="1526"/>
      <c r="O70" s="1526"/>
      <c r="P70" s="1531"/>
      <c r="Q70" s="1526"/>
      <c r="R70" s="1526"/>
      <c r="S70" s="1531"/>
    </row>
    <row r="71" spans="1:38">
      <c r="A71" s="689" t="s">
        <v>280</v>
      </c>
      <c r="B71" s="681">
        <f t="shared" ref="B71:C84" si="45">SUM(E71+H71+K71+N71+Q71)</f>
        <v>391</v>
      </c>
      <c r="C71" s="681">
        <f t="shared" si="45"/>
        <v>1691</v>
      </c>
      <c r="D71" s="681">
        <f t="shared" ref="D71:D85" si="46">(C71-B71)</f>
        <v>1300</v>
      </c>
      <c r="E71" s="681">
        <f t="shared" ref="E71:F84" si="47">E7-X7</f>
        <v>0</v>
      </c>
      <c r="F71" s="681">
        <f t="shared" si="47"/>
        <v>0</v>
      </c>
      <c r="G71" s="681">
        <f t="shared" ref="G71:G85" si="48">(F71-E71)</f>
        <v>0</v>
      </c>
      <c r="H71" s="681">
        <f t="shared" ref="H71:I84" si="49">H7-AA7</f>
        <v>2</v>
      </c>
      <c r="I71" s="681">
        <f t="shared" si="49"/>
        <v>136</v>
      </c>
      <c r="J71" s="681">
        <f t="shared" ref="J71:J85" si="50">(I71-H71)</f>
        <v>134</v>
      </c>
      <c r="K71" s="681">
        <f t="shared" ref="K71:L84" si="51">K7-AD7</f>
        <v>32</v>
      </c>
      <c r="L71" s="681">
        <f t="shared" si="51"/>
        <v>114</v>
      </c>
      <c r="M71" s="681">
        <f t="shared" ref="M71:M85" si="52">(L71-K71)</f>
        <v>82</v>
      </c>
      <c r="N71" s="681">
        <f t="shared" ref="N71:O84" si="53">N7-AG7</f>
        <v>347</v>
      </c>
      <c r="O71" s="681">
        <f t="shared" si="53"/>
        <v>1138</v>
      </c>
      <c r="P71" s="681">
        <f t="shared" ref="P71:P85" si="54">(O71-N71)</f>
        <v>791</v>
      </c>
      <c r="Q71" s="681">
        <f t="shared" ref="Q71:R84" si="55">Q7-AJ7</f>
        <v>10</v>
      </c>
      <c r="R71" s="681">
        <f t="shared" si="55"/>
        <v>303</v>
      </c>
      <c r="S71" s="681">
        <f t="shared" ref="S71:S85" si="56">(R71-Q71)</f>
        <v>293</v>
      </c>
    </row>
    <row r="72" spans="1:38">
      <c r="A72" s="690" t="s">
        <v>281</v>
      </c>
      <c r="B72" s="681">
        <f t="shared" si="45"/>
        <v>6878</v>
      </c>
      <c r="C72" s="681">
        <f t="shared" si="45"/>
        <v>6018</v>
      </c>
      <c r="D72" s="681">
        <f t="shared" si="46"/>
        <v>-860</v>
      </c>
      <c r="E72" s="681">
        <f t="shared" si="47"/>
        <v>26</v>
      </c>
      <c r="F72" s="681">
        <f t="shared" si="47"/>
        <v>25</v>
      </c>
      <c r="G72" s="681">
        <f t="shared" si="48"/>
        <v>-1</v>
      </c>
      <c r="H72" s="681">
        <f t="shared" si="49"/>
        <v>657</v>
      </c>
      <c r="I72" s="681">
        <f t="shared" si="49"/>
        <v>638</v>
      </c>
      <c r="J72" s="681">
        <f t="shared" si="50"/>
        <v>-19</v>
      </c>
      <c r="K72" s="681">
        <f t="shared" si="51"/>
        <v>450</v>
      </c>
      <c r="L72" s="681">
        <f t="shared" si="51"/>
        <v>437</v>
      </c>
      <c r="M72" s="681">
        <f t="shared" si="52"/>
        <v>-13</v>
      </c>
      <c r="N72" s="681">
        <f t="shared" si="53"/>
        <v>4578</v>
      </c>
      <c r="O72" s="681">
        <f t="shared" si="53"/>
        <v>4009</v>
      </c>
      <c r="P72" s="681">
        <f t="shared" si="54"/>
        <v>-569</v>
      </c>
      <c r="Q72" s="681">
        <f t="shared" si="55"/>
        <v>1167</v>
      </c>
      <c r="R72" s="681">
        <f t="shared" si="55"/>
        <v>909</v>
      </c>
      <c r="S72" s="681">
        <f t="shared" si="56"/>
        <v>-258</v>
      </c>
    </row>
    <row r="73" spans="1:38">
      <c r="A73" s="690" t="s">
        <v>282</v>
      </c>
      <c r="B73" s="681">
        <f t="shared" si="45"/>
        <v>2389</v>
      </c>
      <c r="C73" s="681">
        <f t="shared" si="45"/>
        <v>1538</v>
      </c>
      <c r="D73" s="681">
        <f t="shared" si="46"/>
        <v>-851</v>
      </c>
      <c r="E73" s="681">
        <f t="shared" si="47"/>
        <v>74</v>
      </c>
      <c r="F73" s="681">
        <f t="shared" si="47"/>
        <v>70</v>
      </c>
      <c r="G73" s="681">
        <f t="shared" si="48"/>
        <v>-4</v>
      </c>
      <c r="H73" s="681">
        <f t="shared" si="49"/>
        <v>42</v>
      </c>
      <c r="I73" s="681">
        <f t="shared" si="49"/>
        <v>37</v>
      </c>
      <c r="J73" s="681">
        <f t="shared" si="50"/>
        <v>-5</v>
      </c>
      <c r="K73" s="681">
        <f t="shared" si="51"/>
        <v>390</v>
      </c>
      <c r="L73" s="681">
        <f t="shared" si="51"/>
        <v>394</v>
      </c>
      <c r="M73" s="681">
        <f t="shared" si="52"/>
        <v>4</v>
      </c>
      <c r="N73" s="681">
        <f t="shared" si="53"/>
        <v>1794</v>
      </c>
      <c r="O73" s="681">
        <f t="shared" si="53"/>
        <v>938</v>
      </c>
      <c r="P73" s="681">
        <f t="shared" si="54"/>
        <v>-856</v>
      </c>
      <c r="Q73" s="681">
        <f t="shared" si="55"/>
        <v>89</v>
      </c>
      <c r="R73" s="681">
        <f t="shared" si="55"/>
        <v>99</v>
      </c>
      <c r="S73" s="681">
        <f t="shared" si="56"/>
        <v>10</v>
      </c>
    </row>
    <row r="74" spans="1:38">
      <c r="A74" s="690" t="s">
        <v>283</v>
      </c>
      <c r="B74" s="681">
        <f t="shared" si="45"/>
        <v>335</v>
      </c>
      <c r="C74" s="681">
        <f t="shared" si="45"/>
        <v>1008</v>
      </c>
      <c r="D74" s="681">
        <f t="shared" si="46"/>
        <v>673</v>
      </c>
      <c r="E74" s="681">
        <f t="shared" si="47"/>
        <v>0</v>
      </c>
      <c r="F74" s="681">
        <f t="shared" si="47"/>
        <v>0</v>
      </c>
      <c r="G74" s="681">
        <f t="shared" si="48"/>
        <v>0</v>
      </c>
      <c r="H74" s="681">
        <f t="shared" si="49"/>
        <v>0</v>
      </c>
      <c r="I74" s="681">
        <f t="shared" si="49"/>
        <v>0</v>
      </c>
      <c r="J74" s="681">
        <f t="shared" si="50"/>
        <v>0</v>
      </c>
      <c r="K74" s="681">
        <f t="shared" si="51"/>
        <v>0</v>
      </c>
      <c r="L74" s="681">
        <f t="shared" si="51"/>
        <v>0</v>
      </c>
      <c r="M74" s="681">
        <f t="shared" si="52"/>
        <v>0</v>
      </c>
      <c r="N74" s="681">
        <f t="shared" si="53"/>
        <v>257</v>
      </c>
      <c r="O74" s="681">
        <f t="shared" si="53"/>
        <v>924</v>
      </c>
      <c r="P74" s="681">
        <f t="shared" si="54"/>
        <v>667</v>
      </c>
      <c r="Q74" s="681">
        <f t="shared" si="55"/>
        <v>78</v>
      </c>
      <c r="R74" s="681">
        <f t="shared" si="55"/>
        <v>84</v>
      </c>
      <c r="S74" s="681">
        <f t="shared" si="56"/>
        <v>6</v>
      </c>
    </row>
    <row r="75" spans="1:38">
      <c r="A75" s="690" t="s">
        <v>284</v>
      </c>
      <c r="B75" s="681">
        <f t="shared" si="45"/>
        <v>1937</v>
      </c>
      <c r="C75" s="681">
        <f t="shared" si="45"/>
        <v>1871</v>
      </c>
      <c r="D75" s="681">
        <f t="shared" si="46"/>
        <v>-66</v>
      </c>
      <c r="E75" s="681">
        <f t="shared" si="47"/>
        <v>0</v>
      </c>
      <c r="F75" s="681">
        <f t="shared" si="47"/>
        <v>0</v>
      </c>
      <c r="G75" s="681">
        <f t="shared" si="48"/>
        <v>0</v>
      </c>
      <c r="H75" s="681">
        <f t="shared" si="49"/>
        <v>187</v>
      </c>
      <c r="I75" s="681">
        <f t="shared" si="49"/>
        <v>155</v>
      </c>
      <c r="J75" s="681">
        <f t="shared" si="50"/>
        <v>-32</v>
      </c>
      <c r="K75" s="681">
        <f t="shared" si="51"/>
        <v>62</v>
      </c>
      <c r="L75" s="681">
        <f t="shared" si="51"/>
        <v>45</v>
      </c>
      <c r="M75" s="681">
        <f t="shared" si="52"/>
        <v>-17</v>
      </c>
      <c r="N75" s="681">
        <f t="shared" si="53"/>
        <v>1243</v>
      </c>
      <c r="O75" s="681">
        <f t="shared" si="53"/>
        <v>1276</v>
      </c>
      <c r="P75" s="681">
        <f t="shared" si="54"/>
        <v>33</v>
      </c>
      <c r="Q75" s="681">
        <f t="shared" si="55"/>
        <v>445</v>
      </c>
      <c r="R75" s="681">
        <f t="shared" si="55"/>
        <v>395</v>
      </c>
      <c r="S75" s="681">
        <f t="shared" si="56"/>
        <v>-50</v>
      </c>
    </row>
    <row r="76" spans="1:38">
      <c r="A76" s="690" t="s">
        <v>285</v>
      </c>
      <c r="B76" s="681">
        <f t="shared" si="45"/>
        <v>3689</v>
      </c>
      <c r="C76" s="681">
        <f t="shared" si="45"/>
        <v>3211</v>
      </c>
      <c r="D76" s="681">
        <f t="shared" si="46"/>
        <v>-478</v>
      </c>
      <c r="E76" s="681">
        <f t="shared" si="47"/>
        <v>11</v>
      </c>
      <c r="F76" s="681">
        <f t="shared" si="47"/>
        <v>4</v>
      </c>
      <c r="G76" s="681">
        <f t="shared" si="48"/>
        <v>-7</v>
      </c>
      <c r="H76" s="681">
        <f t="shared" si="49"/>
        <v>683</v>
      </c>
      <c r="I76" s="681">
        <f t="shared" si="49"/>
        <v>663</v>
      </c>
      <c r="J76" s="681">
        <f t="shared" si="50"/>
        <v>-20</v>
      </c>
      <c r="K76" s="681">
        <f t="shared" si="51"/>
        <v>556</v>
      </c>
      <c r="L76" s="681">
        <f t="shared" si="51"/>
        <v>676</v>
      </c>
      <c r="M76" s="681">
        <f t="shared" si="52"/>
        <v>120</v>
      </c>
      <c r="N76" s="681">
        <f t="shared" si="53"/>
        <v>1846</v>
      </c>
      <c r="O76" s="681">
        <f t="shared" si="53"/>
        <v>1392</v>
      </c>
      <c r="P76" s="681">
        <f t="shared" si="54"/>
        <v>-454</v>
      </c>
      <c r="Q76" s="681">
        <f t="shared" si="55"/>
        <v>593</v>
      </c>
      <c r="R76" s="681">
        <f t="shared" si="55"/>
        <v>476</v>
      </c>
      <c r="S76" s="681">
        <f t="shared" si="56"/>
        <v>-117</v>
      </c>
    </row>
    <row r="77" spans="1:38">
      <c r="A77" s="690" t="s">
        <v>286</v>
      </c>
      <c r="B77" s="681">
        <f t="shared" si="45"/>
        <v>11220</v>
      </c>
      <c r="C77" s="681">
        <f t="shared" si="45"/>
        <v>12959</v>
      </c>
      <c r="D77" s="681">
        <f t="shared" si="46"/>
        <v>1739</v>
      </c>
      <c r="E77" s="681">
        <f t="shared" si="47"/>
        <v>6</v>
      </c>
      <c r="F77" s="681">
        <f t="shared" si="47"/>
        <v>85</v>
      </c>
      <c r="G77" s="681">
        <f t="shared" si="48"/>
        <v>79</v>
      </c>
      <c r="H77" s="681">
        <f t="shared" si="49"/>
        <v>841</v>
      </c>
      <c r="I77" s="681">
        <f t="shared" si="49"/>
        <v>874</v>
      </c>
      <c r="J77" s="681">
        <f t="shared" si="50"/>
        <v>33</v>
      </c>
      <c r="K77" s="681">
        <f t="shared" si="51"/>
        <v>2129</v>
      </c>
      <c r="L77" s="681">
        <f t="shared" si="51"/>
        <v>2418</v>
      </c>
      <c r="M77" s="681">
        <f t="shared" si="52"/>
        <v>289</v>
      </c>
      <c r="N77" s="681">
        <f t="shared" si="53"/>
        <v>6774</v>
      </c>
      <c r="O77" s="681">
        <f t="shared" si="53"/>
        <v>8011</v>
      </c>
      <c r="P77" s="681">
        <f t="shared" si="54"/>
        <v>1237</v>
      </c>
      <c r="Q77" s="681">
        <f t="shared" si="55"/>
        <v>1470</v>
      </c>
      <c r="R77" s="681">
        <f t="shared" si="55"/>
        <v>1571</v>
      </c>
      <c r="S77" s="681">
        <f t="shared" si="56"/>
        <v>101</v>
      </c>
    </row>
    <row r="78" spans="1:38">
      <c r="A78" s="690" t="s">
        <v>287</v>
      </c>
      <c r="B78" s="681">
        <f t="shared" si="45"/>
        <v>570</v>
      </c>
      <c r="C78" s="681">
        <f t="shared" si="45"/>
        <v>649</v>
      </c>
      <c r="D78" s="681">
        <f t="shared" si="46"/>
        <v>79</v>
      </c>
      <c r="E78" s="681">
        <f t="shared" si="47"/>
        <v>0</v>
      </c>
      <c r="F78" s="681">
        <f t="shared" si="47"/>
        <v>0</v>
      </c>
      <c r="G78" s="681">
        <f t="shared" si="48"/>
        <v>0</v>
      </c>
      <c r="H78" s="681">
        <f t="shared" si="49"/>
        <v>3</v>
      </c>
      <c r="I78" s="681">
        <f t="shared" si="49"/>
        <v>1</v>
      </c>
      <c r="J78" s="681">
        <f t="shared" si="50"/>
        <v>-2</v>
      </c>
      <c r="K78" s="681">
        <f t="shared" si="51"/>
        <v>9</v>
      </c>
      <c r="L78" s="681">
        <f t="shared" si="51"/>
        <v>13</v>
      </c>
      <c r="M78" s="681">
        <f t="shared" si="52"/>
        <v>4</v>
      </c>
      <c r="N78" s="681">
        <f t="shared" si="53"/>
        <v>396</v>
      </c>
      <c r="O78" s="681">
        <f t="shared" si="53"/>
        <v>475</v>
      </c>
      <c r="P78" s="681">
        <f t="shared" si="54"/>
        <v>79</v>
      </c>
      <c r="Q78" s="681">
        <f t="shared" si="55"/>
        <v>162</v>
      </c>
      <c r="R78" s="681">
        <f t="shared" si="55"/>
        <v>160</v>
      </c>
      <c r="S78" s="681">
        <f t="shared" si="56"/>
        <v>-2</v>
      </c>
    </row>
    <row r="79" spans="1:38">
      <c r="A79" s="690" t="s">
        <v>288</v>
      </c>
      <c r="B79" s="681">
        <f t="shared" si="45"/>
        <v>1803</v>
      </c>
      <c r="C79" s="681">
        <f t="shared" si="45"/>
        <v>1342</v>
      </c>
      <c r="D79" s="681">
        <f t="shared" si="46"/>
        <v>-461</v>
      </c>
      <c r="E79" s="681">
        <f t="shared" si="47"/>
        <v>0</v>
      </c>
      <c r="F79" s="681">
        <f t="shared" si="47"/>
        <v>0</v>
      </c>
      <c r="G79" s="681">
        <f t="shared" si="48"/>
        <v>0</v>
      </c>
      <c r="H79" s="681">
        <f t="shared" si="49"/>
        <v>5</v>
      </c>
      <c r="I79" s="681">
        <f t="shared" si="49"/>
        <v>0</v>
      </c>
      <c r="J79" s="681">
        <f t="shared" si="50"/>
        <v>-5</v>
      </c>
      <c r="K79" s="681">
        <f t="shared" si="51"/>
        <v>12</v>
      </c>
      <c r="L79" s="681">
        <f t="shared" si="51"/>
        <v>6</v>
      </c>
      <c r="M79" s="681">
        <f t="shared" si="52"/>
        <v>-6</v>
      </c>
      <c r="N79" s="681">
        <f t="shared" si="53"/>
        <v>1334</v>
      </c>
      <c r="O79" s="681">
        <f t="shared" si="53"/>
        <v>1320</v>
      </c>
      <c r="P79" s="681">
        <f t="shared" si="54"/>
        <v>-14</v>
      </c>
      <c r="Q79" s="681">
        <f t="shared" si="55"/>
        <v>452</v>
      </c>
      <c r="R79" s="681">
        <f t="shared" si="55"/>
        <v>16</v>
      </c>
      <c r="S79" s="681">
        <f t="shared" si="56"/>
        <v>-436</v>
      </c>
    </row>
    <row r="80" spans="1:38">
      <c r="A80" s="690" t="s">
        <v>289</v>
      </c>
      <c r="B80" s="681">
        <f t="shared" si="45"/>
        <v>5016</v>
      </c>
      <c r="C80" s="681">
        <f t="shared" si="45"/>
        <v>6288</v>
      </c>
      <c r="D80" s="681">
        <f t="shared" si="46"/>
        <v>1272</v>
      </c>
      <c r="E80" s="681">
        <f t="shared" si="47"/>
        <v>8</v>
      </c>
      <c r="F80" s="681">
        <f t="shared" si="47"/>
        <v>9</v>
      </c>
      <c r="G80" s="681">
        <f t="shared" si="48"/>
        <v>1</v>
      </c>
      <c r="H80" s="681">
        <f t="shared" si="49"/>
        <v>203</v>
      </c>
      <c r="I80" s="681">
        <f t="shared" si="49"/>
        <v>218</v>
      </c>
      <c r="J80" s="681">
        <f t="shared" si="50"/>
        <v>15</v>
      </c>
      <c r="K80" s="681">
        <f t="shared" si="51"/>
        <v>57</v>
      </c>
      <c r="L80" s="681">
        <f t="shared" si="51"/>
        <v>59</v>
      </c>
      <c r="M80" s="681">
        <f t="shared" si="52"/>
        <v>2</v>
      </c>
      <c r="N80" s="681">
        <f t="shared" si="53"/>
        <v>4172</v>
      </c>
      <c r="O80" s="681">
        <f t="shared" si="53"/>
        <v>5115</v>
      </c>
      <c r="P80" s="681">
        <f t="shared" si="54"/>
        <v>943</v>
      </c>
      <c r="Q80" s="681">
        <f t="shared" si="55"/>
        <v>576</v>
      </c>
      <c r="R80" s="681">
        <f t="shared" si="55"/>
        <v>887</v>
      </c>
      <c r="S80" s="681">
        <f t="shared" si="56"/>
        <v>311</v>
      </c>
    </row>
    <row r="81" spans="1:19">
      <c r="A81" s="690" t="s">
        <v>290</v>
      </c>
      <c r="B81" s="681">
        <f t="shared" si="45"/>
        <v>116</v>
      </c>
      <c r="C81" s="681">
        <f t="shared" si="45"/>
        <v>59</v>
      </c>
      <c r="D81" s="681">
        <f t="shared" si="46"/>
        <v>-57</v>
      </c>
      <c r="E81" s="681">
        <f t="shared" si="47"/>
        <v>0</v>
      </c>
      <c r="F81" s="681">
        <f t="shared" si="47"/>
        <v>0</v>
      </c>
      <c r="G81" s="681">
        <f t="shared" si="48"/>
        <v>0</v>
      </c>
      <c r="H81" s="681">
        <f t="shared" si="49"/>
        <v>20</v>
      </c>
      <c r="I81" s="681">
        <f t="shared" si="49"/>
        <v>19</v>
      </c>
      <c r="J81" s="681">
        <f t="shared" si="50"/>
        <v>-1</v>
      </c>
      <c r="K81" s="681">
        <f t="shared" si="51"/>
        <v>51</v>
      </c>
      <c r="L81" s="681">
        <f t="shared" si="51"/>
        <v>30</v>
      </c>
      <c r="M81" s="681">
        <f t="shared" si="52"/>
        <v>-21</v>
      </c>
      <c r="N81" s="681">
        <f t="shared" si="53"/>
        <v>30</v>
      </c>
      <c r="O81" s="681">
        <f t="shared" si="53"/>
        <v>10</v>
      </c>
      <c r="P81" s="681">
        <f t="shared" si="54"/>
        <v>-20</v>
      </c>
      <c r="Q81" s="681">
        <f t="shared" si="55"/>
        <v>15</v>
      </c>
      <c r="R81" s="681">
        <f t="shared" si="55"/>
        <v>0</v>
      </c>
      <c r="S81" s="681">
        <f t="shared" si="56"/>
        <v>-15</v>
      </c>
    </row>
    <row r="82" spans="1:19">
      <c r="A82" s="690" t="s">
        <v>291</v>
      </c>
      <c r="B82" s="681">
        <f t="shared" si="45"/>
        <v>2976</v>
      </c>
      <c r="C82" s="681">
        <f t="shared" si="45"/>
        <v>3739</v>
      </c>
      <c r="D82" s="681">
        <f t="shared" si="46"/>
        <v>763</v>
      </c>
      <c r="E82" s="681">
        <f t="shared" si="47"/>
        <v>13</v>
      </c>
      <c r="F82" s="681">
        <f t="shared" si="47"/>
        <v>13</v>
      </c>
      <c r="G82" s="681">
        <f t="shared" si="48"/>
        <v>0</v>
      </c>
      <c r="H82" s="681">
        <f t="shared" si="49"/>
        <v>981</v>
      </c>
      <c r="I82" s="681">
        <f t="shared" si="49"/>
        <v>1031</v>
      </c>
      <c r="J82" s="681">
        <f t="shared" si="50"/>
        <v>50</v>
      </c>
      <c r="K82" s="681">
        <f t="shared" si="51"/>
        <v>610</v>
      </c>
      <c r="L82" s="681">
        <f t="shared" si="51"/>
        <v>540</v>
      </c>
      <c r="M82" s="681">
        <f t="shared" si="52"/>
        <v>-70</v>
      </c>
      <c r="N82" s="681">
        <f t="shared" si="53"/>
        <v>933</v>
      </c>
      <c r="O82" s="681">
        <f t="shared" si="53"/>
        <v>1694</v>
      </c>
      <c r="P82" s="681">
        <f t="shared" si="54"/>
        <v>761</v>
      </c>
      <c r="Q82" s="681">
        <f t="shared" si="55"/>
        <v>439</v>
      </c>
      <c r="R82" s="681">
        <f t="shared" si="55"/>
        <v>461</v>
      </c>
      <c r="S82" s="681">
        <f t="shared" si="56"/>
        <v>22</v>
      </c>
    </row>
    <row r="83" spans="1:19">
      <c r="A83" s="690" t="s">
        <v>292</v>
      </c>
      <c r="B83" s="681">
        <f t="shared" si="45"/>
        <v>2616</v>
      </c>
      <c r="C83" s="681">
        <f t="shared" si="45"/>
        <v>2693</v>
      </c>
      <c r="D83" s="681">
        <f t="shared" si="46"/>
        <v>77</v>
      </c>
      <c r="E83" s="681">
        <f t="shared" si="47"/>
        <v>0</v>
      </c>
      <c r="F83" s="681">
        <f t="shared" si="47"/>
        <v>0</v>
      </c>
      <c r="G83" s="681">
        <f t="shared" si="48"/>
        <v>0</v>
      </c>
      <c r="H83" s="681">
        <f t="shared" si="49"/>
        <v>516</v>
      </c>
      <c r="I83" s="681">
        <f t="shared" si="49"/>
        <v>598</v>
      </c>
      <c r="J83" s="681">
        <f t="shared" si="50"/>
        <v>82</v>
      </c>
      <c r="K83" s="681">
        <f t="shared" si="51"/>
        <v>289</v>
      </c>
      <c r="L83" s="681">
        <f t="shared" si="51"/>
        <v>290</v>
      </c>
      <c r="M83" s="681">
        <f t="shared" si="52"/>
        <v>1</v>
      </c>
      <c r="N83" s="681">
        <f t="shared" si="53"/>
        <v>1471</v>
      </c>
      <c r="O83" s="681">
        <f t="shared" si="53"/>
        <v>1465</v>
      </c>
      <c r="P83" s="681">
        <f t="shared" si="54"/>
        <v>-6</v>
      </c>
      <c r="Q83" s="681">
        <f t="shared" si="55"/>
        <v>340</v>
      </c>
      <c r="R83" s="681">
        <f t="shared" si="55"/>
        <v>340</v>
      </c>
      <c r="S83" s="681">
        <f t="shared" si="56"/>
        <v>0</v>
      </c>
    </row>
    <row r="84" spans="1:19">
      <c r="A84" s="691" t="s">
        <v>293</v>
      </c>
      <c r="B84" s="681">
        <f t="shared" si="45"/>
        <v>6539</v>
      </c>
      <c r="C84" s="681">
        <f t="shared" si="45"/>
        <v>7935</v>
      </c>
      <c r="D84" s="681">
        <f t="shared" si="46"/>
        <v>1396</v>
      </c>
      <c r="E84" s="681">
        <f t="shared" si="47"/>
        <v>4</v>
      </c>
      <c r="F84" s="681">
        <f t="shared" si="47"/>
        <v>3</v>
      </c>
      <c r="G84" s="681">
        <f t="shared" si="48"/>
        <v>-1</v>
      </c>
      <c r="H84" s="681">
        <f t="shared" si="49"/>
        <v>115</v>
      </c>
      <c r="I84" s="681">
        <f t="shared" si="49"/>
        <v>106</v>
      </c>
      <c r="J84" s="681">
        <f t="shared" si="50"/>
        <v>-9</v>
      </c>
      <c r="K84" s="681">
        <f t="shared" si="51"/>
        <v>401</v>
      </c>
      <c r="L84" s="681">
        <f t="shared" si="51"/>
        <v>264</v>
      </c>
      <c r="M84" s="681">
        <f t="shared" si="52"/>
        <v>-137</v>
      </c>
      <c r="N84" s="681">
        <f t="shared" si="53"/>
        <v>5490</v>
      </c>
      <c r="O84" s="681">
        <f t="shared" si="53"/>
        <v>6919</v>
      </c>
      <c r="P84" s="681">
        <f t="shared" si="54"/>
        <v>1429</v>
      </c>
      <c r="Q84" s="681">
        <f t="shared" si="55"/>
        <v>529</v>
      </c>
      <c r="R84" s="681">
        <f t="shared" si="55"/>
        <v>643</v>
      </c>
      <c r="S84" s="681">
        <f t="shared" si="56"/>
        <v>114</v>
      </c>
    </row>
    <row r="85" spans="1:19">
      <c r="A85" s="686" t="s">
        <v>296</v>
      </c>
      <c r="B85" s="681">
        <f>SUM(B71:B84)</f>
        <v>46475</v>
      </c>
      <c r="C85" s="681">
        <f>SUM(C71:C84)</f>
        <v>51001</v>
      </c>
      <c r="D85" s="681">
        <f t="shared" si="46"/>
        <v>4526</v>
      </c>
      <c r="E85" s="681">
        <f>SUM(E71:E84)</f>
        <v>142</v>
      </c>
      <c r="F85" s="681">
        <f>SUM(F71:F84)</f>
        <v>209</v>
      </c>
      <c r="G85" s="681">
        <f t="shared" si="48"/>
        <v>67</v>
      </c>
      <c r="H85" s="681">
        <f>SUM(H71:H84)</f>
        <v>4255</v>
      </c>
      <c r="I85" s="681">
        <f>SUM(I71:I84)</f>
        <v>4476</v>
      </c>
      <c r="J85" s="681">
        <f t="shared" si="50"/>
        <v>221</v>
      </c>
      <c r="K85" s="681">
        <f>SUM(K71:K84)</f>
        <v>5048</v>
      </c>
      <c r="L85" s="681">
        <f>SUM(L71:L84)</f>
        <v>5286</v>
      </c>
      <c r="M85" s="681">
        <f t="shared" si="52"/>
        <v>238</v>
      </c>
      <c r="N85" s="681">
        <f>SUM(N71:N84)</f>
        <v>30665</v>
      </c>
      <c r="O85" s="681">
        <f>SUM(O71:O84)</f>
        <v>34686</v>
      </c>
      <c r="P85" s="681">
        <f t="shared" si="54"/>
        <v>4021</v>
      </c>
      <c r="Q85" s="681">
        <f>SUM(Q71:Q84)</f>
        <v>6365</v>
      </c>
      <c r="R85" s="681">
        <f>SUM(R71:R84)</f>
        <v>6344</v>
      </c>
      <c r="S85" s="681">
        <f t="shared" si="56"/>
        <v>-21</v>
      </c>
    </row>
    <row r="90" spans="1:19">
      <c r="A90" s="1546">
        <v>35</v>
      </c>
      <c r="B90" s="1546"/>
      <c r="C90" s="1546"/>
      <c r="D90" s="1546"/>
      <c r="E90" s="1546"/>
      <c r="F90" s="1546"/>
      <c r="G90" s="1546"/>
      <c r="H90" s="1546"/>
      <c r="I90" s="1546"/>
      <c r="J90" s="1546"/>
      <c r="K90" s="1546"/>
      <c r="L90" s="1546"/>
      <c r="M90" s="1546"/>
      <c r="N90" s="1546"/>
      <c r="O90" s="1546"/>
      <c r="P90" s="1546"/>
      <c r="Q90" s="1546"/>
      <c r="R90" s="1546"/>
      <c r="S90" s="1546"/>
    </row>
  </sheetData>
  <mergeCells count="162">
    <mergeCell ref="AL25:AL26"/>
    <mergeCell ref="T45:AL45"/>
    <mergeCell ref="P49:P50"/>
    <mergeCell ref="Q49:Q50"/>
    <mergeCell ref="R49:R50"/>
    <mergeCell ref="AF25:AF26"/>
    <mergeCell ref="AG25:AG26"/>
    <mergeCell ref="AH25:AH26"/>
    <mergeCell ref="AI25:AI26"/>
    <mergeCell ref="X25:X26"/>
    <mergeCell ref="Y25:Y26"/>
    <mergeCell ref="Z25:Z26"/>
    <mergeCell ref="AA25:AA26"/>
    <mergeCell ref="A45:S45"/>
    <mergeCell ref="I49:I50"/>
    <mergeCell ref="A90:S90"/>
    <mergeCell ref="AJ25:AJ26"/>
    <mergeCell ref="AK25:AK26"/>
    <mergeCell ref="O25:O26"/>
    <mergeCell ref="P25:P26"/>
    <mergeCell ref="AB25:AB26"/>
    <mergeCell ref="AC25:AC26"/>
    <mergeCell ref="AD25:AD26"/>
    <mergeCell ref="AE25:AE26"/>
    <mergeCell ref="V25:V26"/>
    <mergeCell ref="W25:W26"/>
    <mergeCell ref="Q25:Q26"/>
    <mergeCell ref="R25:R26"/>
    <mergeCell ref="S25:S26"/>
    <mergeCell ref="U25:U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AJ5:AJ6"/>
    <mergeCell ref="AK5:AK6"/>
    <mergeCell ref="AL5:AL6"/>
    <mergeCell ref="T22:AL22"/>
    <mergeCell ref="A23:A26"/>
    <mergeCell ref="B23:D24"/>
    <mergeCell ref="E23:S23"/>
    <mergeCell ref="T23:T26"/>
    <mergeCell ref="U23:W24"/>
    <mergeCell ref="X23:AL23"/>
    <mergeCell ref="E24:G24"/>
    <mergeCell ref="H24:J24"/>
    <mergeCell ref="K24:M24"/>
    <mergeCell ref="N24:P24"/>
    <mergeCell ref="Q24:S24"/>
    <mergeCell ref="X24:Z24"/>
    <mergeCell ref="AA24:AC24"/>
    <mergeCell ref="AD24:AF24"/>
    <mergeCell ref="AG24:AI24"/>
    <mergeCell ref="AJ24:AL24"/>
    <mergeCell ref="B25:B26"/>
    <mergeCell ref="C25:C26"/>
    <mergeCell ref="D25:D26"/>
    <mergeCell ref="E25:E2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Q5:Q6"/>
    <mergeCell ref="R5:R6"/>
    <mergeCell ref="S5:S6"/>
    <mergeCell ref="U5:U6"/>
    <mergeCell ref="V5:V6"/>
    <mergeCell ref="W5:W6"/>
    <mergeCell ref="X5:X6"/>
    <mergeCell ref="Y5:Y6"/>
    <mergeCell ref="Z5:Z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A1:S1"/>
    <mergeCell ref="T1:AL1"/>
    <mergeCell ref="A3:A6"/>
    <mergeCell ref="B3:D4"/>
    <mergeCell ref="E3:S3"/>
    <mergeCell ref="T3:T6"/>
    <mergeCell ref="U3:W4"/>
    <mergeCell ref="X3:AL3"/>
    <mergeCell ref="E4:G4"/>
    <mergeCell ref="H4:J4"/>
    <mergeCell ref="K4:M4"/>
    <mergeCell ref="N4:P4"/>
    <mergeCell ref="Q4:S4"/>
    <mergeCell ref="X4:Z4"/>
    <mergeCell ref="AA4:AC4"/>
    <mergeCell ref="AD4:AF4"/>
    <mergeCell ref="AG4:AI4"/>
    <mergeCell ref="AJ4:AL4"/>
    <mergeCell ref="B5:B6"/>
    <mergeCell ref="C5:C6"/>
    <mergeCell ref="D5:D6"/>
    <mergeCell ref="E5:E6"/>
    <mergeCell ref="F5:F6"/>
    <mergeCell ref="G5:G6"/>
    <mergeCell ref="J69:J70"/>
    <mergeCell ref="K69:K70"/>
    <mergeCell ref="A47:A50"/>
    <mergeCell ref="B47:D48"/>
    <mergeCell ref="E47:S47"/>
    <mergeCell ref="E48:G48"/>
    <mergeCell ref="H48:J48"/>
    <mergeCell ref="K48:M48"/>
    <mergeCell ref="N48:P48"/>
    <mergeCell ref="Q48:S48"/>
    <mergeCell ref="B49:B50"/>
    <mergeCell ref="C49:C50"/>
    <mergeCell ref="S49:S50"/>
    <mergeCell ref="J49:J50"/>
    <mergeCell ref="K49:K50"/>
    <mergeCell ref="L49:L50"/>
    <mergeCell ref="M49:M50"/>
    <mergeCell ref="N49:N50"/>
    <mergeCell ref="O49:O50"/>
    <mergeCell ref="D49:D50"/>
    <mergeCell ref="E49:E50"/>
    <mergeCell ref="F49:F50"/>
    <mergeCell ref="G49:G50"/>
    <mergeCell ref="H49:H50"/>
    <mergeCell ref="A67:A70"/>
    <mergeCell ref="B67:D68"/>
    <mergeCell ref="E67:S67"/>
    <mergeCell ref="E68:G68"/>
    <mergeCell ref="H68:J68"/>
    <mergeCell ref="L69:L70"/>
    <mergeCell ref="M69:M70"/>
    <mergeCell ref="N69:N70"/>
    <mergeCell ref="C69:C70"/>
    <mergeCell ref="D69:D70"/>
    <mergeCell ref="E69:E70"/>
    <mergeCell ref="F69:F70"/>
    <mergeCell ref="G69:G70"/>
    <mergeCell ref="H69:H70"/>
    <mergeCell ref="K68:M68"/>
    <mergeCell ref="N68:P68"/>
    <mergeCell ref="Q68:S68"/>
    <mergeCell ref="B69:B70"/>
    <mergeCell ref="O69:O70"/>
    <mergeCell ref="P69:P70"/>
    <mergeCell ref="Q69:Q70"/>
    <mergeCell ref="R69:R70"/>
    <mergeCell ref="S69:S70"/>
    <mergeCell ref="I69:I70"/>
  </mergeCells>
  <pageMargins left="0.47" right="0.4" top="0.51" bottom="0.53" header="0.3" footer="0.3"/>
  <pageSetup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42"/>
  <sheetViews>
    <sheetView topLeftCell="A19" workbookViewId="0">
      <selection activeCell="F16" sqref="F16"/>
    </sheetView>
  </sheetViews>
  <sheetFormatPr defaultRowHeight="12.75"/>
  <cols>
    <col min="1" max="1" width="5.85546875" style="279" customWidth="1"/>
    <col min="2" max="9" width="9.140625" style="279"/>
    <col min="10" max="10" width="10.140625" style="279" customWidth="1"/>
    <col min="11" max="16384" width="9.140625" style="279"/>
  </cols>
  <sheetData>
    <row r="1" spans="1:12">
      <c r="A1" s="1501" t="s">
        <v>807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377"/>
    </row>
    <row r="2" spans="1:12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</row>
    <row r="3" spans="1:12">
      <c r="A3" s="1548"/>
      <c r="B3" s="1548"/>
      <c r="C3" s="1548"/>
      <c r="H3" s="1549" t="s">
        <v>808</v>
      </c>
      <c r="I3" s="1549"/>
      <c r="J3" s="1549"/>
      <c r="K3" s="1549"/>
    </row>
    <row r="4" spans="1:12" ht="18.75" customHeight="1">
      <c r="A4" s="1550" t="s">
        <v>809</v>
      </c>
      <c r="B4" s="1553" t="s">
        <v>810</v>
      </c>
      <c r="C4" s="1556" t="s">
        <v>356</v>
      </c>
      <c r="D4" s="1545"/>
      <c r="E4" s="1557"/>
      <c r="F4" s="1556" t="s">
        <v>359</v>
      </c>
      <c r="G4" s="1545"/>
      <c r="H4" s="1545"/>
      <c r="I4" s="1545"/>
      <c r="J4" s="1557"/>
      <c r="K4" s="1553" t="s">
        <v>811</v>
      </c>
    </row>
    <row r="5" spans="1:12">
      <c r="A5" s="1551"/>
      <c r="B5" s="1554"/>
      <c r="C5" s="283" t="s">
        <v>812</v>
      </c>
      <c r="D5" s="1558" t="s">
        <v>813</v>
      </c>
      <c r="E5" s="532" t="s">
        <v>814</v>
      </c>
      <c r="F5" s="533" t="s">
        <v>815</v>
      </c>
      <c r="G5" s="283" t="s">
        <v>816</v>
      </c>
      <c r="H5" s="283" t="s">
        <v>817</v>
      </c>
      <c r="I5" s="283" t="s">
        <v>818</v>
      </c>
      <c r="J5" s="532" t="s">
        <v>819</v>
      </c>
      <c r="K5" s="1554"/>
    </row>
    <row r="6" spans="1:12">
      <c r="A6" s="1551"/>
      <c r="B6" s="1554"/>
      <c r="C6" s="378" t="s">
        <v>820</v>
      </c>
      <c r="D6" s="1559"/>
      <c r="E6" s="379" t="s">
        <v>353</v>
      </c>
      <c r="F6" s="534" t="s">
        <v>821</v>
      </c>
      <c r="G6" s="378" t="s">
        <v>822</v>
      </c>
      <c r="H6" s="378" t="s">
        <v>823</v>
      </c>
      <c r="I6" s="378" t="s">
        <v>824</v>
      </c>
      <c r="J6" s="379" t="s">
        <v>353</v>
      </c>
      <c r="K6" s="1554"/>
    </row>
    <row r="7" spans="1:12" ht="26.25" customHeight="1">
      <c r="A7" s="1552"/>
      <c r="B7" s="1555"/>
      <c r="C7" s="380"/>
      <c r="D7" s="1560"/>
      <c r="E7" s="381"/>
      <c r="F7" s="380"/>
      <c r="G7" s="380"/>
      <c r="H7" s="380"/>
      <c r="I7" s="380"/>
      <c r="J7" s="381"/>
      <c r="K7" s="1555"/>
    </row>
    <row r="8" spans="1:12" ht="18.75" customHeight="1">
      <c r="A8" s="282">
        <v>1986</v>
      </c>
      <c r="B8" s="289">
        <v>930094</v>
      </c>
      <c r="C8" s="282">
        <v>274633</v>
      </c>
      <c r="D8" s="282">
        <v>52737</v>
      </c>
      <c r="E8" s="289">
        <v>327370</v>
      </c>
      <c r="F8" s="282">
        <v>42517</v>
      </c>
      <c r="G8" s="282">
        <v>167570</v>
      </c>
      <c r="H8" s="282">
        <v>74957</v>
      </c>
      <c r="I8" s="282">
        <v>96353</v>
      </c>
      <c r="J8" s="289">
        <v>381397</v>
      </c>
      <c r="K8" s="282">
        <v>876067</v>
      </c>
    </row>
    <row r="9" spans="1:12" ht="18.75" customHeight="1">
      <c r="A9" s="282">
        <v>1987</v>
      </c>
      <c r="B9" s="289">
        <v>876067</v>
      </c>
      <c r="C9" s="282">
        <v>291985</v>
      </c>
      <c r="D9" s="282">
        <v>22100</v>
      </c>
      <c r="E9" s="289">
        <v>314085</v>
      </c>
      <c r="F9" s="282">
        <v>17752</v>
      </c>
      <c r="G9" s="282">
        <v>172576</v>
      </c>
      <c r="H9" s="282">
        <v>76437</v>
      </c>
      <c r="I9" s="282">
        <v>35832</v>
      </c>
      <c r="J9" s="289">
        <v>302597</v>
      </c>
      <c r="K9" s="282">
        <v>887555</v>
      </c>
    </row>
    <row r="10" spans="1:12" ht="18.75" customHeight="1">
      <c r="A10" s="282">
        <v>1988</v>
      </c>
      <c r="B10" s="289">
        <v>887555</v>
      </c>
      <c r="C10" s="282">
        <v>302305</v>
      </c>
      <c r="D10" s="282">
        <v>23117</v>
      </c>
      <c r="E10" s="289">
        <v>325422</v>
      </c>
      <c r="F10" s="282">
        <v>22785</v>
      </c>
      <c r="G10" s="282">
        <v>178472</v>
      </c>
      <c r="H10" s="282">
        <v>76960</v>
      </c>
      <c r="I10" s="282">
        <v>37533</v>
      </c>
      <c r="J10" s="289">
        <v>315750</v>
      </c>
      <c r="K10" s="282">
        <v>897227</v>
      </c>
    </row>
    <row r="11" spans="1:12" ht="18.75" customHeight="1">
      <c r="A11" s="282">
        <v>1989</v>
      </c>
      <c r="B11" s="289">
        <v>897227</v>
      </c>
      <c r="C11" s="282">
        <v>317998</v>
      </c>
      <c r="D11" s="282">
        <v>19212</v>
      </c>
      <c r="E11" s="289">
        <v>337210</v>
      </c>
      <c r="F11" s="282">
        <v>17169</v>
      </c>
      <c r="G11" s="282">
        <v>172299</v>
      </c>
      <c r="H11" s="282">
        <v>76952</v>
      </c>
      <c r="I11" s="282">
        <v>44327</v>
      </c>
      <c r="J11" s="289">
        <v>310747</v>
      </c>
      <c r="K11" s="282">
        <v>923690</v>
      </c>
    </row>
    <row r="12" spans="1:12" ht="18.75" customHeight="1">
      <c r="A12" s="282">
        <v>1990</v>
      </c>
      <c r="B12" s="289">
        <v>923690</v>
      </c>
      <c r="C12" s="282">
        <v>313920</v>
      </c>
      <c r="D12" s="282">
        <v>80372</v>
      </c>
      <c r="E12" s="289">
        <v>394292</v>
      </c>
      <c r="F12" s="282">
        <v>85557</v>
      </c>
      <c r="G12" s="282">
        <v>154417</v>
      </c>
      <c r="H12" s="282">
        <v>81997</v>
      </c>
      <c r="I12" s="282">
        <v>59365</v>
      </c>
      <c r="J12" s="289">
        <v>381336</v>
      </c>
      <c r="K12" s="282">
        <v>936646</v>
      </c>
    </row>
    <row r="13" spans="1:12" ht="18.75" customHeight="1">
      <c r="A13" s="282">
        <v>1991</v>
      </c>
      <c r="B13" s="289">
        <v>936646</v>
      </c>
      <c r="C13" s="282">
        <v>296866</v>
      </c>
      <c r="D13" s="282">
        <v>308960</v>
      </c>
      <c r="E13" s="289">
        <v>605826</v>
      </c>
      <c r="F13" s="282">
        <v>334220</v>
      </c>
      <c r="G13" s="282">
        <v>159807</v>
      </c>
      <c r="H13" s="282">
        <v>86970</v>
      </c>
      <c r="I13" s="282">
        <v>72562</v>
      </c>
      <c r="J13" s="289">
        <v>653559</v>
      </c>
      <c r="K13" s="282">
        <v>888913</v>
      </c>
    </row>
    <row r="14" spans="1:12" ht="18.75" customHeight="1">
      <c r="A14" s="282">
        <v>1992</v>
      </c>
      <c r="B14" s="289">
        <v>888913</v>
      </c>
      <c r="C14" s="282">
        <v>244962</v>
      </c>
      <c r="D14" s="282">
        <v>140711</v>
      </c>
      <c r="E14" s="289">
        <v>385673</v>
      </c>
      <c r="F14" s="282">
        <v>193097</v>
      </c>
      <c r="G14" s="282">
        <v>115430</v>
      </c>
      <c r="H14" s="282">
        <v>119431</v>
      </c>
      <c r="I14" s="282">
        <v>44501</v>
      </c>
      <c r="J14" s="289">
        <v>472459</v>
      </c>
      <c r="K14" s="282">
        <v>802127</v>
      </c>
    </row>
    <row r="15" spans="1:12" ht="18.75" customHeight="1">
      <c r="A15" s="282">
        <v>1993</v>
      </c>
      <c r="B15" s="289">
        <v>802127</v>
      </c>
      <c r="C15" s="282">
        <v>210884</v>
      </c>
      <c r="D15" s="282">
        <v>86954</v>
      </c>
      <c r="E15" s="289">
        <v>297838</v>
      </c>
      <c r="F15" s="282">
        <v>165529</v>
      </c>
      <c r="G15" s="282">
        <v>79884</v>
      </c>
      <c r="H15" s="282">
        <v>97732</v>
      </c>
      <c r="I15" s="282">
        <v>44097</v>
      </c>
      <c r="J15" s="289">
        <v>387242</v>
      </c>
      <c r="K15" s="282">
        <v>712723</v>
      </c>
    </row>
    <row r="16" spans="1:12" ht="18.75" customHeight="1">
      <c r="A16" s="282">
        <v>1994</v>
      </c>
      <c r="B16" s="289">
        <v>712723</v>
      </c>
      <c r="C16" s="282">
        <v>187719</v>
      </c>
      <c r="D16" s="282">
        <v>72774</v>
      </c>
      <c r="E16" s="289">
        <v>260493</v>
      </c>
      <c r="F16" s="282">
        <v>156345</v>
      </c>
      <c r="G16" s="282">
        <v>30532</v>
      </c>
      <c r="H16" s="282">
        <v>104724</v>
      </c>
      <c r="I16" s="282">
        <v>31291</v>
      </c>
      <c r="J16" s="289">
        <v>322892</v>
      </c>
      <c r="K16" s="282">
        <v>650324</v>
      </c>
    </row>
    <row r="17" spans="1:11" ht="18.75" customHeight="1">
      <c r="A17" s="282">
        <v>1995</v>
      </c>
      <c r="B17" s="289">
        <v>650324</v>
      </c>
      <c r="C17" s="282">
        <v>167143</v>
      </c>
      <c r="D17" s="282">
        <v>44484</v>
      </c>
      <c r="E17" s="289">
        <v>211627</v>
      </c>
      <c r="F17" s="282">
        <v>136406</v>
      </c>
      <c r="G17" s="282">
        <v>0</v>
      </c>
      <c r="H17" s="282">
        <v>94199</v>
      </c>
      <c r="I17" s="282">
        <v>39958</v>
      </c>
      <c r="J17" s="289">
        <v>270563</v>
      </c>
      <c r="K17" s="282">
        <v>591388</v>
      </c>
    </row>
    <row r="18" spans="1:11" ht="18.75" customHeight="1">
      <c r="A18" s="282">
        <v>1996</v>
      </c>
      <c r="B18" s="289">
        <v>591388</v>
      </c>
      <c r="C18" s="282">
        <v>180709</v>
      </c>
      <c r="D18" s="282">
        <v>52395</v>
      </c>
      <c r="E18" s="289">
        <v>233104</v>
      </c>
      <c r="F18" s="282">
        <v>107248</v>
      </c>
      <c r="G18" s="282">
        <v>5178</v>
      </c>
      <c r="H18" s="282">
        <v>97593</v>
      </c>
      <c r="I18" s="282">
        <v>20303</v>
      </c>
      <c r="J18" s="289">
        <v>230322</v>
      </c>
      <c r="K18" s="282">
        <v>594170</v>
      </c>
    </row>
    <row r="19" spans="1:11" ht="18.75" customHeight="1">
      <c r="A19" s="282">
        <v>1997</v>
      </c>
      <c r="B19" s="289">
        <v>594170</v>
      </c>
      <c r="C19" s="282">
        <v>207589</v>
      </c>
      <c r="D19" s="282">
        <v>53041</v>
      </c>
      <c r="E19" s="289">
        <v>260630</v>
      </c>
      <c r="F19" s="282">
        <v>70675</v>
      </c>
      <c r="G19" s="282">
        <v>58223</v>
      </c>
      <c r="H19" s="282">
        <v>59686</v>
      </c>
      <c r="I19" s="282">
        <v>9029</v>
      </c>
      <c r="J19" s="289">
        <v>197613</v>
      </c>
      <c r="K19" s="282">
        <v>657187</v>
      </c>
    </row>
    <row r="20" spans="1:11" ht="18.75" customHeight="1">
      <c r="A20" s="282">
        <v>1998</v>
      </c>
      <c r="B20" s="289">
        <v>657187</v>
      </c>
      <c r="C20" s="282">
        <v>241609</v>
      </c>
      <c r="D20" s="282">
        <v>51213</v>
      </c>
      <c r="E20" s="289">
        <v>292822</v>
      </c>
      <c r="F20" s="282">
        <v>86324</v>
      </c>
      <c r="G20" s="282">
        <v>60786</v>
      </c>
      <c r="H20" s="282">
        <v>60470</v>
      </c>
      <c r="I20" s="282">
        <v>6772</v>
      </c>
      <c r="J20" s="289">
        <v>214352</v>
      </c>
      <c r="K20" s="282">
        <v>735657</v>
      </c>
    </row>
    <row r="21" spans="1:11" ht="18.75" customHeight="1">
      <c r="A21" s="282">
        <v>1999</v>
      </c>
      <c r="B21" s="289">
        <v>735657</v>
      </c>
      <c r="C21" s="282">
        <v>263881</v>
      </c>
      <c r="D21" s="282">
        <v>49730</v>
      </c>
      <c r="E21" s="289">
        <v>313611</v>
      </c>
      <c r="F21" s="282">
        <v>91626</v>
      </c>
      <c r="G21" s="282">
        <v>70296</v>
      </c>
      <c r="H21" s="282">
        <v>65066</v>
      </c>
      <c r="I21" s="282">
        <v>10528</v>
      </c>
      <c r="J21" s="289">
        <v>237516</v>
      </c>
      <c r="K21" s="282">
        <v>811752</v>
      </c>
    </row>
    <row r="22" spans="1:11" ht="18.75" customHeight="1">
      <c r="A22" s="282">
        <v>2000</v>
      </c>
      <c r="B22" s="289">
        <v>811752</v>
      </c>
      <c r="C22" s="282">
        <v>256014</v>
      </c>
      <c r="D22" s="282">
        <v>38116</v>
      </c>
      <c r="E22" s="289">
        <v>294130</v>
      </c>
      <c r="F22" s="282">
        <v>38154</v>
      </c>
      <c r="G22" s="282">
        <v>153708</v>
      </c>
      <c r="H22" s="282">
        <v>73150</v>
      </c>
      <c r="I22" s="282">
        <v>14702</v>
      </c>
      <c r="J22" s="289">
        <v>279714</v>
      </c>
      <c r="K22" s="282">
        <v>826168</v>
      </c>
    </row>
    <row r="23" spans="1:11" ht="18.75" customHeight="1">
      <c r="A23" s="282">
        <v>2001</v>
      </c>
      <c r="B23" s="289">
        <v>826168</v>
      </c>
      <c r="C23" s="282">
        <v>244924</v>
      </c>
      <c r="D23" s="282">
        <v>46205</v>
      </c>
      <c r="E23" s="289">
        <v>291129</v>
      </c>
      <c r="F23" s="282">
        <v>72258</v>
      </c>
      <c r="G23" s="282">
        <v>107732</v>
      </c>
      <c r="H23" s="282">
        <v>72319</v>
      </c>
      <c r="I23" s="282">
        <v>70901</v>
      </c>
      <c r="J23" s="289">
        <v>323210</v>
      </c>
      <c r="K23" s="282">
        <v>794087</v>
      </c>
    </row>
    <row r="24" spans="1:11" ht="18.75" customHeight="1">
      <c r="A24" s="282">
        <v>2002</v>
      </c>
      <c r="B24" s="289">
        <v>794087</v>
      </c>
      <c r="C24" s="282">
        <v>272446</v>
      </c>
      <c r="D24" s="282">
        <v>47117</v>
      </c>
      <c r="E24" s="289">
        <v>319563</v>
      </c>
      <c r="F24" s="282">
        <v>78487</v>
      </c>
      <c r="G24" s="282">
        <v>112538</v>
      </c>
      <c r="H24" s="282">
        <v>84407</v>
      </c>
      <c r="I24" s="282">
        <v>12834</v>
      </c>
      <c r="J24" s="289">
        <v>288266</v>
      </c>
      <c r="K24" s="282">
        <v>825384</v>
      </c>
    </row>
    <row r="25" spans="1:11" ht="18.75" customHeight="1">
      <c r="A25" s="282">
        <v>2003</v>
      </c>
      <c r="B25" s="289">
        <v>825384</v>
      </c>
      <c r="C25" s="282">
        <v>269042</v>
      </c>
      <c r="D25" s="282">
        <v>38762</v>
      </c>
      <c r="E25" s="289">
        <v>307804</v>
      </c>
      <c r="F25" s="282">
        <v>72165</v>
      </c>
      <c r="G25" s="282">
        <v>132256</v>
      </c>
      <c r="H25" s="282">
        <v>55352</v>
      </c>
      <c r="I25" s="282">
        <v>29610</v>
      </c>
      <c r="J25" s="289">
        <v>289383</v>
      </c>
      <c r="K25" s="282">
        <v>843805</v>
      </c>
    </row>
    <row r="26" spans="1:11" ht="18.75" customHeight="1">
      <c r="A26" s="282">
        <v>2004</v>
      </c>
      <c r="B26" s="289">
        <v>843805</v>
      </c>
      <c r="C26" s="282">
        <v>287247</v>
      </c>
      <c r="D26" s="282">
        <v>34911</v>
      </c>
      <c r="E26" s="289">
        <v>322158</v>
      </c>
      <c r="F26" s="282">
        <v>86636</v>
      </c>
      <c r="G26" s="282">
        <v>120253</v>
      </c>
      <c r="H26" s="282">
        <v>61743</v>
      </c>
      <c r="I26" s="282">
        <v>9432</v>
      </c>
      <c r="J26" s="289">
        <v>278064</v>
      </c>
      <c r="K26" s="282">
        <v>887899</v>
      </c>
    </row>
    <row r="27" spans="1:11" ht="18.75" customHeight="1">
      <c r="A27" s="282">
        <v>2005</v>
      </c>
      <c r="B27" s="289">
        <v>887899</v>
      </c>
      <c r="C27" s="282">
        <v>314550</v>
      </c>
      <c r="D27" s="282">
        <v>42551</v>
      </c>
      <c r="E27" s="289">
        <v>357101</v>
      </c>
      <c r="F27" s="282">
        <v>81177</v>
      </c>
      <c r="G27" s="282">
        <v>111915</v>
      </c>
      <c r="H27" s="282">
        <v>60737</v>
      </c>
      <c r="I27" s="282">
        <v>12650</v>
      </c>
      <c r="J27" s="289">
        <v>266479</v>
      </c>
      <c r="K27" s="282">
        <v>978521</v>
      </c>
    </row>
    <row r="28" spans="1:11" ht="18.75" customHeight="1">
      <c r="A28" s="282">
        <v>2006</v>
      </c>
      <c r="B28" s="289">
        <v>978521</v>
      </c>
      <c r="C28" s="282">
        <v>370263</v>
      </c>
      <c r="D28" s="282">
        <v>59235</v>
      </c>
      <c r="E28" s="289">
        <v>429498</v>
      </c>
      <c r="F28" s="282">
        <v>123330</v>
      </c>
      <c r="G28" s="282">
        <v>118696</v>
      </c>
      <c r="H28" s="282">
        <v>46860</v>
      </c>
      <c r="I28" s="282">
        <v>5810</v>
      </c>
      <c r="J28" s="289">
        <v>294696</v>
      </c>
      <c r="K28" s="282">
        <v>1113323</v>
      </c>
    </row>
    <row r="29" spans="1:11" ht="18.75" customHeight="1">
      <c r="A29" s="282">
        <v>2007</v>
      </c>
      <c r="B29" s="289">
        <v>1113323</v>
      </c>
      <c r="C29" s="282">
        <v>439147</v>
      </c>
      <c r="D29" s="282">
        <v>77771</v>
      </c>
      <c r="E29" s="289">
        <v>516918</v>
      </c>
      <c r="F29" s="282">
        <v>110491</v>
      </c>
      <c r="G29" s="282">
        <v>144324</v>
      </c>
      <c r="H29" s="282">
        <v>63143</v>
      </c>
      <c r="I29" s="282">
        <v>4993</v>
      </c>
      <c r="J29" s="289">
        <v>322951</v>
      </c>
      <c r="K29" s="282">
        <v>1307290</v>
      </c>
    </row>
    <row r="30" spans="1:11" ht="18.75" customHeight="1">
      <c r="A30" s="300">
        <v>2008</v>
      </c>
      <c r="B30" s="290">
        <v>1307290</v>
      </c>
      <c r="C30" s="300">
        <v>480194</v>
      </c>
      <c r="D30" s="300">
        <v>80164</v>
      </c>
      <c r="E30" s="290">
        <v>560358</v>
      </c>
      <c r="F30" s="300">
        <v>163727</v>
      </c>
      <c r="G30" s="300">
        <v>153531</v>
      </c>
      <c r="H30" s="300">
        <v>55525</v>
      </c>
      <c r="I30" s="300">
        <v>18644</v>
      </c>
      <c r="J30" s="290">
        <v>391427</v>
      </c>
      <c r="K30" s="300">
        <v>1476221</v>
      </c>
    </row>
    <row r="31" spans="1:11" ht="18.75" customHeight="1">
      <c r="A31" s="300">
        <v>2009</v>
      </c>
      <c r="B31" s="291">
        <v>1476221</v>
      </c>
      <c r="C31" s="288">
        <v>495074</v>
      </c>
      <c r="D31" s="281">
        <v>60536</v>
      </c>
      <c r="E31" s="291">
        <v>555610</v>
      </c>
      <c r="F31" s="281">
        <v>182680</v>
      </c>
      <c r="G31" s="281">
        <v>190873</v>
      </c>
      <c r="H31" s="281">
        <v>69354</v>
      </c>
      <c r="I31" s="281">
        <v>138194</v>
      </c>
      <c r="J31" s="291">
        <v>581101</v>
      </c>
      <c r="K31" s="281">
        <v>1450730</v>
      </c>
    </row>
    <row r="32" spans="1:11" ht="18.75" customHeight="1">
      <c r="A32" s="282">
        <v>2010</v>
      </c>
      <c r="B32" s="291">
        <v>1450730</v>
      </c>
      <c r="C32" s="288">
        <v>271464</v>
      </c>
      <c r="D32" s="281">
        <v>68165</v>
      </c>
      <c r="E32" s="291">
        <v>339629</v>
      </c>
      <c r="F32" s="382">
        <v>132693</v>
      </c>
      <c r="G32" s="382">
        <v>155675</v>
      </c>
      <c r="H32" s="382">
        <v>73967</v>
      </c>
      <c r="I32" s="382">
        <v>314742</v>
      </c>
      <c r="J32" s="291">
        <v>677077</v>
      </c>
      <c r="K32" s="281">
        <v>1113282</v>
      </c>
    </row>
    <row r="33" spans="1:11" ht="18.75" customHeight="1">
      <c r="A33" s="281">
        <v>2011</v>
      </c>
      <c r="B33" s="291">
        <v>1113282</v>
      </c>
      <c r="C33" s="281">
        <v>421803</v>
      </c>
      <c r="D33" s="281">
        <v>81034</v>
      </c>
      <c r="E33" s="291">
        <v>502837</v>
      </c>
      <c r="F33" s="281">
        <v>221054</v>
      </c>
      <c r="G33" s="281">
        <v>189449</v>
      </c>
      <c r="H33" s="281">
        <v>44939</v>
      </c>
      <c r="I33" s="281">
        <v>10915</v>
      </c>
      <c r="J33" s="291">
        <v>466357</v>
      </c>
      <c r="K33" s="281">
        <v>1149762</v>
      </c>
    </row>
    <row r="34" spans="1:11" ht="18.75" customHeight="1">
      <c r="A34" s="281">
        <v>2012</v>
      </c>
      <c r="B34" s="291">
        <v>1149762</v>
      </c>
      <c r="C34" s="281">
        <v>398666</v>
      </c>
      <c r="D34" s="281">
        <v>104213</v>
      </c>
      <c r="E34" s="291">
        <v>502879</v>
      </c>
      <c r="F34" s="281">
        <v>197520</v>
      </c>
      <c r="G34" s="281">
        <v>182182</v>
      </c>
      <c r="H34" s="281">
        <v>51524</v>
      </c>
      <c r="I34" s="281">
        <v>14162</v>
      </c>
      <c r="J34" s="291">
        <v>445388</v>
      </c>
      <c r="K34" s="281">
        <v>1207253</v>
      </c>
    </row>
    <row r="42" spans="1:11">
      <c r="A42" s="1501">
        <v>37</v>
      </c>
      <c r="B42" s="1501"/>
      <c r="C42" s="1501"/>
      <c r="D42" s="1501"/>
      <c r="E42" s="1501"/>
      <c r="F42" s="1501"/>
      <c r="G42" s="1501"/>
      <c r="H42" s="1501"/>
      <c r="I42" s="1501"/>
      <c r="J42" s="1501"/>
      <c r="K42" s="1501"/>
    </row>
  </sheetData>
  <mergeCells count="10">
    <mergeCell ref="A42:K42"/>
    <mergeCell ref="A1:K1"/>
    <mergeCell ref="A3:C3"/>
    <mergeCell ref="H3:K3"/>
    <mergeCell ref="A4:A7"/>
    <mergeCell ref="B4:B7"/>
    <mergeCell ref="C4:E4"/>
    <mergeCell ref="F4:J4"/>
    <mergeCell ref="K4:K7"/>
    <mergeCell ref="D5:D7"/>
  </mergeCells>
  <pageMargins left="0.5" right="0.28000000000000003" top="0.75" bottom="0.4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31"/>
  <sheetViews>
    <sheetView workbookViewId="0">
      <selection activeCell="J46" sqref="J46"/>
    </sheetView>
  </sheetViews>
  <sheetFormatPr defaultRowHeight="12.75"/>
  <cols>
    <col min="1" max="1" width="4.140625" style="107" customWidth="1"/>
    <col min="2" max="2" width="7.85546875" style="107" customWidth="1"/>
    <col min="3" max="3" width="16.42578125" style="107" customWidth="1"/>
    <col min="4" max="6" width="9.140625" style="107"/>
    <col min="7" max="7" width="9.140625" style="107" customWidth="1"/>
    <col min="8" max="8" width="11.5703125" style="107" customWidth="1"/>
    <col min="9" max="9" width="6.5703125" style="107" customWidth="1"/>
    <col min="10" max="11" width="8.7109375" style="199" customWidth="1"/>
    <col min="12" max="12" width="10.5703125" style="107" customWidth="1"/>
    <col min="13" max="16384" width="9.140625" style="107"/>
  </cols>
  <sheetData>
    <row r="1" spans="1:11">
      <c r="B1" s="1388" t="s">
        <v>578</v>
      </c>
      <c r="C1" s="1388"/>
      <c r="D1" s="1388"/>
      <c r="E1" s="1388"/>
      <c r="F1" s="1388"/>
      <c r="G1" s="1388"/>
      <c r="H1" s="1388"/>
    </row>
    <row r="2" spans="1:11" s="105" customFormat="1" ht="21" customHeight="1">
      <c r="A2" s="1392" t="s">
        <v>579</v>
      </c>
      <c r="B2" s="1392"/>
      <c r="C2" s="1392"/>
      <c r="J2" s="232" t="s">
        <v>683</v>
      </c>
      <c r="K2" s="1142"/>
    </row>
    <row r="3" spans="1:11" s="105" customFormat="1" ht="21" customHeight="1">
      <c r="A3" s="1392" t="s">
        <v>681</v>
      </c>
      <c r="B3" s="1392"/>
      <c r="C3" s="1392"/>
      <c r="J3" s="232" t="s">
        <v>684</v>
      </c>
      <c r="K3" s="1142"/>
    </row>
    <row r="4" spans="1:11" s="105" customFormat="1" ht="21" customHeight="1">
      <c r="A4" s="105" t="s">
        <v>682</v>
      </c>
      <c r="J4" s="232" t="s">
        <v>685</v>
      </c>
      <c r="K4" s="1142"/>
    </row>
    <row r="5" spans="1:11" s="105" customFormat="1" ht="21" customHeight="1">
      <c r="A5" s="1385" t="s">
        <v>678</v>
      </c>
      <c r="B5" s="1385"/>
      <c r="C5" s="1385"/>
      <c r="J5" s="1141"/>
      <c r="K5" s="1141"/>
    </row>
    <row r="6" spans="1:11" s="105" customFormat="1" ht="16.5" customHeight="1">
      <c r="B6" s="151" t="s">
        <v>580</v>
      </c>
      <c r="C6" s="105" t="s">
        <v>687</v>
      </c>
      <c r="J6" s="232" t="s">
        <v>1571</v>
      </c>
      <c r="K6" s="1142"/>
    </row>
    <row r="7" spans="1:11" s="105" customFormat="1" ht="16.5" customHeight="1">
      <c r="B7" s="151" t="s">
        <v>581</v>
      </c>
      <c r="C7" s="51" t="s">
        <v>1567</v>
      </c>
      <c r="J7" s="232" t="s">
        <v>1017</v>
      </c>
      <c r="K7" s="1142"/>
    </row>
    <row r="8" spans="1:11" s="105" customFormat="1" ht="16.5" customHeight="1">
      <c r="B8" s="248" t="s">
        <v>2173</v>
      </c>
      <c r="C8" s="51" t="s">
        <v>1572</v>
      </c>
      <c r="J8" s="200" t="s">
        <v>12</v>
      </c>
      <c r="K8" s="1141"/>
    </row>
    <row r="9" spans="1:11" s="105" customFormat="1" ht="16.5" customHeight="1">
      <c r="B9" s="248" t="s">
        <v>2174</v>
      </c>
      <c r="C9" s="51" t="s">
        <v>1568</v>
      </c>
      <c r="J9" s="200" t="s">
        <v>13</v>
      </c>
      <c r="K9" s="1141"/>
    </row>
    <row r="10" spans="1:11" s="105" customFormat="1" ht="16.5" customHeight="1">
      <c r="B10" s="248" t="s">
        <v>2175</v>
      </c>
      <c r="C10" s="51" t="s">
        <v>1569</v>
      </c>
      <c r="J10" s="232" t="s">
        <v>2158</v>
      </c>
      <c r="K10" s="1142"/>
    </row>
    <row r="11" spans="1:11" s="105" customFormat="1" ht="16.5" customHeight="1">
      <c r="B11" s="248" t="s">
        <v>2176</v>
      </c>
      <c r="C11" s="51" t="s">
        <v>1570</v>
      </c>
      <c r="J11" s="232" t="s">
        <v>2159</v>
      </c>
      <c r="K11" s="1142"/>
    </row>
    <row r="12" spans="1:11" s="105" customFormat="1" ht="16.5" customHeight="1">
      <c r="B12" s="1143" t="s">
        <v>2177</v>
      </c>
      <c r="C12" s="609" t="s">
        <v>2160</v>
      </c>
      <c r="J12" s="232" t="s">
        <v>15</v>
      </c>
      <c r="K12" s="1142"/>
    </row>
    <row r="13" spans="1:11" s="105" customFormat="1" ht="16.5" customHeight="1">
      <c r="A13" s="1385" t="s">
        <v>679</v>
      </c>
      <c r="B13" s="1385"/>
      <c r="C13" s="1385"/>
      <c r="J13" s="1141"/>
      <c r="K13" s="1141"/>
    </row>
    <row r="14" spans="1:11" s="105" customFormat="1" ht="16.5" customHeight="1">
      <c r="B14" s="248" t="s">
        <v>582</v>
      </c>
      <c r="C14" s="105" t="s">
        <v>422</v>
      </c>
      <c r="J14" s="200" t="s">
        <v>16</v>
      </c>
      <c r="K14" s="1141"/>
    </row>
    <row r="15" spans="1:11" s="105" customFormat="1" ht="16.5" customHeight="1">
      <c r="B15" s="248" t="s">
        <v>583</v>
      </c>
      <c r="C15" s="105" t="s">
        <v>584</v>
      </c>
      <c r="J15" s="200" t="s">
        <v>17</v>
      </c>
      <c r="K15" s="1141"/>
    </row>
    <row r="16" spans="1:11" s="105" customFormat="1" ht="16.5" customHeight="1">
      <c r="B16" s="248" t="s">
        <v>585</v>
      </c>
      <c r="C16" s="1389" t="s">
        <v>680</v>
      </c>
      <c r="D16" s="1390"/>
      <c r="E16" s="1390"/>
      <c r="F16" s="1390"/>
      <c r="G16" s="1390"/>
      <c r="H16" s="1390"/>
      <c r="J16" s="200" t="s">
        <v>691</v>
      </c>
      <c r="K16" s="1141"/>
    </row>
    <row r="17" spans="1:11" s="105" customFormat="1" ht="16.5" customHeight="1">
      <c r="B17" s="151" t="s">
        <v>586</v>
      </c>
      <c r="C17" s="1391" t="s">
        <v>2161</v>
      </c>
      <c r="D17" s="1390"/>
      <c r="E17" s="1390"/>
      <c r="F17" s="1390"/>
      <c r="G17" s="1390"/>
      <c r="H17" s="1390"/>
      <c r="J17" s="200" t="s">
        <v>18</v>
      </c>
      <c r="K17" s="1141"/>
    </row>
    <row r="18" spans="1:11" s="105" customFormat="1" ht="14.25" customHeight="1">
      <c r="J18" s="1141"/>
      <c r="K18" s="1141"/>
    </row>
    <row r="19" spans="1:11" s="105" customFormat="1" ht="21" customHeight="1">
      <c r="A19" s="1385" t="s">
        <v>689</v>
      </c>
      <c r="B19" s="1385"/>
      <c r="C19" s="1385"/>
      <c r="J19" s="1141"/>
      <c r="K19" s="1141"/>
    </row>
    <row r="20" spans="1:11" s="105" customFormat="1" ht="15.75" customHeight="1">
      <c r="B20" s="248" t="s">
        <v>2178</v>
      </c>
      <c r="C20" s="51" t="s">
        <v>692</v>
      </c>
      <c r="J20" s="232" t="s">
        <v>19</v>
      </c>
      <c r="K20" s="1142"/>
    </row>
    <row r="21" spans="1:11" s="105" customFormat="1" ht="15.75" customHeight="1">
      <c r="B21" s="248" t="s">
        <v>2179</v>
      </c>
      <c r="C21" s="51" t="s">
        <v>693</v>
      </c>
      <c r="J21" s="232" t="s">
        <v>20</v>
      </c>
      <c r="K21" s="1142"/>
    </row>
    <row r="22" spans="1:11" s="105" customFormat="1" ht="15.75" customHeight="1">
      <c r="B22" s="248" t="s">
        <v>2180</v>
      </c>
      <c r="C22" s="51" t="s">
        <v>2162</v>
      </c>
      <c r="J22" s="232" t="s">
        <v>694</v>
      </c>
      <c r="K22" s="1142"/>
    </row>
    <row r="23" spans="1:11" s="105" customFormat="1" ht="15.75" customHeight="1">
      <c r="B23" s="248" t="s">
        <v>2181</v>
      </c>
      <c r="C23" s="51" t="s">
        <v>2163</v>
      </c>
      <c r="J23" s="232" t="s">
        <v>695</v>
      </c>
      <c r="K23" s="1142"/>
    </row>
    <row r="24" spans="1:11" s="105" customFormat="1" ht="15.75" customHeight="1">
      <c r="B24" s="248" t="s">
        <v>2182</v>
      </c>
      <c r="C24" s="51" t="s">
        <v>1547</v>
      </c>
      <c r="J24" s="232" t="s">
        <v>696</v>
      </c>
      <c r="K24" s="1142"/>
    </row>
    <row r="25" spans="1:11" s="105" customFormat="1" ht="15.75" customHeight="1">
      <c r="B25" s="248" t="s">
        <v>2183</v>
      </c>
      <c r="C25" s="51" t="s">
        <v>697</v>
      </c>
      <c r="J25" s="232" t="s">
        <v>698</v>
      </c>
      <c r="K25" s="1142"/>
    </row>
    <row r="26" spans="1:11" s="105" customFormat="1" ht="15.75" customHeight="1">
      <c r="B26" s="248" t="s">
        <v>2184</v>
      </c>
      <c r="C26" s="51" t="s">
        <v>699</v>
      </c>
      <c r="J26" s="232" t="s">
        <v>700</v>
      </c>
      <c r="K26" s="1142"/>
    </row>
    <row r="27" spans="1:11" s="105" customFormat="1" ht="15.75" customHeight="1">
      <c r="B27" s="248" t="s">
        <v>2185</v>
      </c>
      <c r="C27" s="51" t="s">
        <v>702</v>
      </c>
      <c r="J27" s="232" t="s">
        <v>703</v>
      </c>
      <c r="K27" s="1142"/>
    </row>
    <row r="28" spans="1:11" s="105" customFormat="1" ht="15.75" customHeight="1">
      <c r="B28" s="248" t="s">
        <v>2186</v>
      </c>
      <c r="C28" s="51" t="s">
        <v>704</v>
      </c>
      <c r="J28" s="232" t="s">
        <v>705</v>
      </c>
      <c r="K28" s="1142"/>
    </row>
    <row r="29" spans="1:11" s="105" customFormat="1" ht="15.75" customHeight="1">
      <c r="B29" s="1144" t="s">
        <v>2291</v>
      </c>
      <c r="C29" s="51" t="s">
        <v>701</v>
      </c>
      <c r="J29" s="232" t="s">
        <v>2164</v>
      </c>
      <c r="K29" s="1142"/>
    </row>
    <row r="30" spans="1:11" s="105" customFormat="1" ht="15.75" customHeight="1">
      <c r="B30" s="1144" t="s">
        <v>2187</v>
      </c>
      <c r="C30" s="51" t="s">
        <v>2166</v>
      </c>
      <c r="J30" s="232" t="s">
        <v>2165</v>
      </c>
      <c r="K30" s="1142"/>
    </row>
    <row r="31" spans="1:11" s="105" customFormat="1" ht="15.75" customHeight="1">
      <c r="B31" s="1144" t="s">
        <v>2188</v>
      </c>
      <c r="C31" s="51" t="s">
        <v>706</v>
      </c>
      <c r="J31" s="232" t="s">
        <v>708</v>
      </c>
      <c r="K31" s="1142"/>
    </row>
    <row r="32" spans="1:11" s="105" customFormat="1" ht="15.75" customHeight="1">
      <c r="B32" s="1144" t="s">
        <v>2189</v>
      </c>
      <c r="C32" s="51" t="s">
        <v>707</v>
      </c>
      <c r="J32" s="232" t="s">
        <v>709</v>
      </c>
      <c r="K32" s="1142"/>
    </row>
    <row r="33" spans="1:12" s="105" customFormat="1" ht="15.75" customHeight="1">
      <c r="B33" s="1144" t="s">
        <v>2190</v>
      </c>
      <c r="C33" s="51" t="s">
        <v>712</v>
      </c>
      <c r="J33" s="232" t="s">
        <v>713</v>
      </c>
      <c r="K33" s="1142"/>
    </row>
    <row r="34" spans="1:12" s="105" customFormat="1" ht="15.75" customHeight="1">
      <c r="B34" s="1144" t="s">
        <v>2191</v>
      </c>
      <c r="C34" s="51" t="s">
        <v>710</v>
      </c>
      <c r="J34" s="232" t="s">
        <v>714</v>
      </c>
      <c r="K34" s="1142"/>
    </row>
    <row r="35" spans="1:12" s="105" customFormat="1" ht="15.75" customHeight="1">
      <c r="B35" s="1144" t="s">
        <v>2192</v>
      </c>
      <c r="C35" s="51" t="s">
        <v>711</v>
      </c>
      <c r="J35" s="232" t="s">
        <v>715</v>
      </c>
      <c r="K35" s="1142"/>
    </row>
    <row r="36" spans="1:12" s="105" customFormat="1" ht="15.75" customHeight="1">
      <c r="B36" s="233"/>
      <c r="C36" s="51"/>
      <c r="J36" s="1142"/>
      <c r="K36" s="1142"/>
    </row>
    <row r="37" spans="1:12" s="105" customFormat="1" ht="15.75" customHeight="1">
      <c r="A37" s="1385" t="s">
        <v>716</v>
      </c>
      <c r="B37" s="1385"/>
      <c r="C37" s="1385"/>
      <c r="J37" s="1142"/>
      <c r="K37" s="1142"/>
    </row>
    <row r="38" spans="1:12" s="105" customFormat="1" ht="15.75" customHeight="1">
      <c r="B38" s="1145" t="s">
        <v>2193</v>
      </c>
      <c r="C38" s="51" t="s">
        <v>717</v>
      </c>
      <c r="J38" s="232" t="s">
        <v>721</v>
      </c>
      <c r="K38" s="1142"/>
    </row>
    <row r="39" spans="1:12" s="105" customFormat="1" ht="15.75" customHeight="1">
      <c r="B39" s="1145" t="s">
        <v>2194</v>
      </c>
      <c r="C39" s="51" t="s">
        <v>718</v>
      </c>
      <c r="J39" s="232" t="s">
        <v>722</v>
      </c>
      <c r="K39" s="1142"/>
    </row>
    <row r="40" spans="1:12" s="105" customFormat="1" ht="15.75" customHeight="1">
      <c r="B40" s="1145" t="s">
        <v>2195</v>
      </c>
      <c r="C40" s="51" t="s">
        <v>720</v>
      </c>
      <c r="J40" s="232" t="s">
        <v>723</v>
      </c>
      <c r="K40" s="1142"/>
    </row>
    <row r="41" spans="1:12" s="105" customFormat="1" ht="15.75" customHeight="1">
      <c r="B41" s="1145" t="s">
        <v>2196</v>
      </c>
      <c r="C41" s="51" t="s">
        <v>719</v>
      </c>
      <c r="J41" s="232" t="s">
        <v>724</v>
      </c>
      <c r="K41" s="1142"/>
    </row>
    <row r="42" spans="1:12" s="105" customFormat="1" ht="15.75" customHeight="1">
      <c r="B42" s="233"/>
      <c r="C42" s="51"/>
      <c r="J42" s="1142"/>
      <c r="K42" s="1142"/>
    </row>
    <row r="43" spans="1:12" s="105" customFormat="1">
      <c r="A43" s="1385" t="s">
        <v>2167</v>
      </c>
      <c r="B43" s="1385"/>
      <c r="C43" s="1385"/>
      <c r="J43" s="1141"/>
      <c r="K43" s="1141"/>
    </row>
    <row r="44" spans="1:12" s="105" customFormat="1">
      <c r="A44" s="1119"/>
      <c r="B44" s="1143" t="s">
        <v>2197</v>
      </c>
      <c r="C44" s="609" t="s">
        <v>1566</v>
      </c>
      <c r="J44" s="232" t="s">
        <v>725</v>
      </c>
      <c r="K44" s="610"/>
      <c r="L44" s="608"/>
    </row>
    <row r="45" spans="1:12" s="105" customFormat="1">
      <c r="A45" s="1119"/>
      <c r="B45" s="390"/>
      <c r="C45" s="517"/>
      <c r="E45" s="105">
        <v>1</v>
      </c>
      <c r="J45" s="1142"/>
      <c r="K45" s="1142"/>
      <c r="L45" s="119"/>
    </row>
    <row r="46" spans="1:12" s="105" customFormat="1">
      <c r="A46" s="1385" t="s">
        <v>2199</v>
      </c>
      <c r="B46" s="1385"/>
      <c r="C46" s="1385"/>
      <c r="J46" s="232"/>
      <c r="K46" s="1142"/>
    </row>
    <row r="47" spans="1:12" s="105" customFormat="1" ht="22.5" customHeight="1">
      <c r="A47" s="1119"/>
      <c r="B47" s="248" t="s">
        <v>2198</v>
      </c>
      <c r="C47" s="51" t="s">
        <v>727</v>
      </c>
      <c r="J47" s="232" t="s">
        <v>726</v>
      </c>
      <c r="K47" s="1142"/>
    </row>
    <row r="48" spans="1:12" s="105" customFormat="1" ht="22.5" customHeight="1">
      <c r="B48" s="248" t="s">
        <v>2211</v>
      </c>
      <c r="C48" s="51" t="s">
        <v>2168</v>
      </c>
      <c r="J48" s="232" t="s">
        <v>728</v>
      </c>
      <c r="K48" s="1142"/>
    </row>
    <row r="49" spans="1:11" s="105" customFormat="1" ht="22.5" customHeight="1">
      <c r="B49" s="248" t="s">
        <v>2212</v>
      </c>
      <c r="C49" s="51" t="s">
        <v>731</v>
      </c>
      <c r="J49" s="232" t="s">
        <v>729</v>
      </c>
      <c r="K49" s="1142"/>
    </row>
    <row r="50" spans="1:11" s="105" customFormat="1" ht="22.5" customHeight="1">
      <c r="B50" s="248" t="s">
        <v>2213</v>
      </c>
      <c r="C50" s="51" t="s">
        <v>733</v>
      </c>
      <c r="J50" s="232" t="s">
        <v>730</v>
      </c>
      <c r="K50" s="1142"/>
    </row>
    <row r="51" spans="1:11" s="105" customFormat="1" ht="22.5" customHeight="1">
      <c r="B51" s="248" t="s">
        <v>2214</v>
      </c>
      <c r="C51" s="51" t="s">
        <v>2169</v>
      </c>
      <c r="J51" s="232" t="s">
        <v>732</v>
      </c>
      <c r="K51" s="1142"/>
    </row>
    <row r="52" spans="1:11" s="105" customFormat="1" ht="22.5" customHeight="1">
      <c r="B52" s="248" t="s">
        <v>2215</v>
      </c>
      <c r="C52" s="51" t="s">
        <v>735</v>
      </c>
      <c r="J52" s="232" t="s">
        <v>734</v>
      </c>
      <c r="K52" s="1142"/>
    </row>
    <row r="53" spans="1:11" s="105" customFormat="1" ht="22.5" customHeight="1">
      <c r="B53" s="248" t="s">
        <v>2216</v>
      </c>
      <c r="C53" s="51" t="s">
        <v>2283</v>
      </c>
      <c r="J53" s="232" t="s">
        <v>2233</v>
      </c>
      <c r="K53" s="1142"/>
    </row>
    <row r="54" spans="1:11" s="105" customFormat="1">
      <c r="B54" s="104"/>
      <c r="J54" s="1141"/>
      <c r="K54" s="1141"/>
    </row>
    <row r="55" spans="1:11" s="105" customFormat="1">
      <c r="A55" s="1385" t="s">
        <v>2200</v>
      </c>
      <c r="B55" s="1385"/>
      <c r="C55" s="1385"/>
      <c r="J55" s="1141"/>
      <c r="K55" s="1141"/>
    </row>
    <row r="56" spans="1:11" s="105" customFormat="1" ht="20.25" customHeight="1">
      <c r="B56" s="248" t="s">
        <v>2217</v>
      </c>
      <c r="C56" s="51" t="s">
        <v>2170</v>
      </c>
      <c r="J56" s="232" t="s">
        <v>736</v>
      </c>
      <c r="K56" s="1142"/>
    </row>
    <row r="57" spans="1:11" s="105" customFormat="1" ht="20.25" customHeight="1">
      <c r="B57" s="248" t="s">
        <v>2218</v>
      </c>
      <c r="C57" s="51" t="s">
        <v>2171</v>
      </c>
      <c r="J57" s="232" t="s">
        <v>737</v>
      </c>
      <c r="K57" s="1142"/>
    </row>
    <row r="58" spans="1:11" s="105" customFormat="1" ht="20.25" customHeight="1">
      <c r="B58" s="248" t="s">
        <v>2219</v>
      </c>
      <c r="C58" s="51" t="s">
        <v>2172</v>
      </c>
      <c r="D58" s="197"/>
      <c r="J58" s="232" t="s">
        <v>738</v>
      </c>
      <c r="K58" s="1142"/>
    </row>
    <row r="59" spans="1:11" s="105" customFormat="1">
      <c r="A59" s="104"/>
      <c r="C59" s="197"/>
      <c r="J59" s="1141"/>
      <c r="K59" s="1141"/>
    </row>
    <row r="60" spans="1:11" s="105" customFormat="1">
      <c r="A60" s="1385" t="s">
        <v>2201</v>
      </c>
      <c r="B60" s="1385"/>
      <c r="C60" s="1385"/>
      <c r="J60" s="1141"/>
      <c r="K60" s="1141"/>
    </row>
    <row r="61" spans="1:11" s="105" customFormat="1" ht="18" customHeight="1">
      <c r="B61" s="248" t="s">
        <v>2220</v>
      </c>
      <c r="C61" s="105" t="s">
        <v>588</v>
      </c>
      <c r="J61" s="232" t="s">
        <v>739</v>
      </c>
      <c r="K61" s="1142"/>
    </row>
    <row r="62" spans="1:11" s="105" customFormat="1" ht="18" customHeight="1">
      <c r="B62" s="248" t="s">
        <v>2221</v>
      </c>
      <c r="C62" s="51" t="s">
        <v>740</v>
      </c>
      <c r="J62" s="232" t="s">
        <v>741</v>
      </c>
      <c r="K62" s="1142"/>
    </row>
    <row r="63" spans="1:11" s="105" customFormat="1">
      <c r="B63" s="164"/>
      <c r="C63" s="51"/>
      <c r="J63" s="1142"/>
      <c r="K63" s="1142"/>
    </row>
    <row r="64" spans="1:11" s="105" customFormat="1">
      <c r="A64" s="1385" t="s">
        <v>2222</v>
      </c>
      <c r="B64" s="1385"/>
      <c r="C64" s="197"/>
      <c r="J64" s="1141"/>
      <c r="K64" s="1141"/>
    </row>
    <row r="65" spans="1:12" s="105" customFormat="1" ht="18" customHeight="1">
      <c r="A65" s="104"/>
      <c r="B65" s="1143" t="s">
        <v>2223</v>
      </c>
      <c r="C65" s="609" t="s">
        <v>2203</v>
      </c>
      <c r="J65" s="232" t="s">
        <v>742</v>
      </c>
      <c r="K65" s="1142"/>
      <c r="L65" s="119"/>
    </row>
    <row r="66" spans="1:12" s="105" customFormat="1">
      <c r="A66" s="104"/>
      <c r="B66" s="164"/>
      <c r="C66" s="517"/>
      <c r="J66" s="1142"/>
      <c r="K66" s="1142"/>
      <c r="L66" s="119"/>
    </row>
    <row r="67" spans="1:12" s="105" customFormat="1">
      <c r="A67" s="197" t="s">
        <v>2202</v>
      </c>
      <c r="B67" s="198"/>
      <c r="C67" s="197"/>
      <c r="J67" s="1141"/>
      <c r="K67" s="1141"/>
    </row>
    <row r="68" spans="1:12" s="105" customFormat="1" ht="20.25" customHeight="1">
      <c r="B68" s="248" t="s">
        <v>2224</v>
      </c>
      <c r="C68" s="51" t="s">
        <v>2204</v>
      </c>
      <c r="J68" s="232" t="s">
        <v>2205</v>
      </c>
      <c r="K68" s="1142"/>
    </row>
    <row r="69" spans="1:12" s="105" customFormat="1" ht="20.25" customHeight="1">
      <c r="B69" s="248" t="s">
        <v>2225</v>
      </c>
      <c r="C69" s="51" t="s">
        <v>2206</v>
      </c>
      <c r="J69" s="232" t="s">
        <v>743</v>
      </c>
      <c r="K69" s="1142"/>
    </row>
    <row r="70" spans="1:12" s="105" customFormat="1" ht="20.25" customHeight="1">
      <c r="B70" s="248" t="s">
        <v>2226</v>
      </c>
      <c r="C70" s="51" t="s">
        <v>1485</v>
      </c>
      <c r="J70" s="232" t="s">
        <v>744</v>
      </c>
      <c r="K70" s="1142"/>
    </row>
    <row r="71" spans="1:12" s="105" customFormat="1" ht="20.25" customHeight="1">
      <c r="B71" s="248" t="s">
        <v>2227</v>
      </c>
      <c r="C71" s="609" t="s">
        <v>2315</v>
      </c>
      <c r="J71" s="232" t="s">
        <v>745</v>
      </c>
      <c r="K71" s="1142"/>
    </row>
    <row r="72" spans="1:12" s="105" customFormat="1" ht="20.25" customHeight="1">
      <c r="B72" s="248" t="s">
        <v>2228</v>
      </c>
      <c r="C72" s="609" t="s">
        <v>1544</v>
      </c>
      <c r="J72" s="232" t="s">
        <v>746</v>
      </c>
      <c r="K72" s="1142"/>
    </row>
    <row r="73" spans="1:12" s="105" customFormat="1" ht="20.25" customHeight="1">
      <c r="B73" s="248" t="s">
        <v>2229</v>
      </c>
      <c r="C73" s="51" t="s">
        <v>2207</v>
      </c>
      <c r="J73" s="232" t="s">
        <v>1300</v>
      </c>
      <c r="K73" s="1142"/>
    </row>
    <row r="74" spans="1:12" s="105" customFormat="1" ht="20.25" customHeight="1">
      <c r="B74" s="248" t="s">
        <v>2230</v>
      </c>
      <c r="C74" s="51" t="s">
        <v>587</v>
      </c>
      <c r="J74" s="232" t="s">
        <v>1362</v>
      </c>
      <c r="K74" s="1142"/>
    </row>
    <row r="75" spans="1:12" s="105" customFormat="1" ht="20.25" customHeight="1">
      <c r="B75" s="248" t="s">
        <v>2231</v>
      </c>
      <c r="C75" s="51" t="s">
        <v>2208</v>
      </c>
      <c r="J75" s="232" t="s">
        <v>1386</v>
      </c>
      <c r="K75" s="1142"/>
    </row>
    <row r="76" spans="1:12" s="105" customFormat="1" ht="20.25" customHeight="1">
      <c r="B76" s="248" t="s">
        <v>2232</v>
      </c>
      <c r="C76" s="609" t="s">
        <v>2209</v>
      </c>
      <c r="J76" s="232" t="s">
        <v>2210</v>
      </c>
      <c r="K76" s="1142"/>
      <c r="L76" s="119"/>
    </row>
    <row r="77" spans="1:12" s="105" customFormat="1" ht="20.25" customHeight="1">
      <c r="B77" s="1143" t="s">
        <v>2284</v>
      </c>
      <c r="C77" s="609" t="s">
        <v>2288</v>
      </c>
      <c r="D77" s="119"/>
      <c r="E77" s="119"/>
      <c r="F77" s="119"/>
      <c r="G77" s="119"/>
      <c r="J77" s="151">
        <v>82</v>
      </c>
      <c r="K77" s="164"/>
      <c r="L77" s="119"/>
    </row>
    <row r="78" spans="1:12" s="105" customFormat="1" ht="20.25" customHeight="1">
      <c r="B78" s="1143" t="s">
        <v>2285</v>
      </c>
      <c r="C78" s="609" t="s">
        <v>2289</v>
      </c>
      <c r="I78" s="119"/>
      <c r="J78" s="151">
        <v>83</v>
      </c>
      <c r="K78" s="164"/>
      <c r="L78" s="119"/>
    </row>
    <row r="79" spans="1:12" s="105" customFormat="1" ht="20.25" customHeight="1">
      <c r="A79" s="1146"/>
      <c r="B79" s="1143" t="s">
        <v>2287</v>
      </c>
      <c r="C79" s="609" t="s">
        <v>2290</v>
      </c>
      <c r="D79" s="119"/>
      <c r="E79" s="119"/>
      <c r="F79" s="119"/>
      <c r="G79" s="119"/>
      <c r="H79" s="119"/>
      <c r="I79" s="119"/>
      <c r="J79" s="232" t="s">
        <v>2286</v>
      </c>
      <c r="K79" s="1142"/>
      <c r="L79" s="119"/>
    </row>
    <row r="80" spans="1:12" s="105" customFormat="1">
      <c r="A80" s="119"/>
      <c r="B80" s="1147"/>
      <c r="C80" s="119"/>
      <c r="D80" s="119"/>
      <c r="E80" s="119"/>
      <c r="F80" s="119"/>
      <c r="G80" s="119"/>
      <c r="H80" s="119"/>
      <c r="I80" s="119"/>
      <c r="J80" s="1142"/>
      <c r="K80" s="1142"/>
      <c r="L80" s="119"/>
    </row>
    <row r="81" spans="1:12" s="105" customFormat="1">
      <c r="A81" s="170"/>
      <c r="B81" s="164"/>
      <c r="C81" s="170"/>
      <c r="D81" s="170"/>
      <c r="E81" s="170"/>
      <c r="F81" s="170"/>
      <c r="G81" s="170"/>
      <c r="H81" s="170"/>
      <c r="I81" s="170"/>
      <c r="J81" s="539"/>
      <c r="K81" s="539"/>
      <c r="L81" s="170"/>
    </row>
    <row r="82" spans="1:12" s="105" customFormat="1">
      <c r="A82" s="164"/>
      <c r="B82" s="164"/>
      <c r="C82" s="517"/>
      <c r="D82" s="119"/>
      <c r="E82" s="119"/>
      <c r="F82" s="119"/>
      <c r="G82" s="119"/>
      <c r="H82" s="119"/>
      <c r="I82" s="119"/>
      <c r="J82" s="1142"/>
      <c r="K82" s="1142"/>
      <c r="L82" s="119"/>
    </row>
    <row r="83" spans="1:12" s="105" customFormat="1">
      <c r="A83" s="164"/>
      <c r="B83" s="164"/>
      <c r="C83" s="517"/>
      <c r="D83" s="119"/>
      <c r="E83" s="119"/>
      <c r="F83" s="119"/>
      <c r="G83" s="119"/>
      <c r="H83" s="119"/>
      <c r="I83" s="119"/>
      <c r="J83" s="1142"/>
      <c r="K83" s="1142"/>
      <c r="L83" s="119"/>
    </row>
    <row r="84" spans="1:12" s="105" customFormat="1">
      <c r="A84" s="119"/>
      <c r="B84" s="164"/>
      <c r="C84" s="119"/>
      <c r="D84" s="119"/>
      <c r="E84" s="119"/>
      <c r="F84" s="119"/>
      <c r="G84" s="119"/>
      <c r="H84" s="119"/>
      <c r="I84" s="119"/>
      <c r="J84" s="1141"/>
      <c r="K84" s="1141"/>
    </row>
    <row r="85" spans="1:12" s="105" customFormat="1" ht="11.25" customHeight="1">
      <c r="A85" s="1387"/>
      <c r="B85" s="1387"/>
      <c r="C85" s="1387"/>
      <c r="D85" s="119"/>
      <c r="E85" s="119"/>
      <c r="F85" s="119"/>
      <c r="G85" s="119"/>
      <c r="H85" s="119"/>
      <c r="I85" s="119"/>
      <c r="J85" s="1141"/>
      <c r="K85" s="1141"/>
    </row>
    <row r="86" spans="1:12" s="105" customFormat="1">
      <c r="A86" s="119"/>
      <c r="B86" s="164"/>
      <c r="C86" s="119"/>
      <c r="D86" s="119"/>
      <c r="E86" s="119"/>
      <c r="F86" s="119"/>
      <c r="G86" s="119"/>
      <c r="H86" s="119"/>
      <c r="I86" s="119"/>
      <c r="J86" s="1142"/>
      <c r="K86" s="1142"/>
    </row>
    <row r="87" spans="1:12" s="105" customFormat="1">
      <c r="A87" s="119"/>
      <c r="B87" s="164"/>
      <c r="C87" s="517"/>
      <c r="D87" s="119"/>
      <c r="E87" s="119">
        <v>2</v>
      </c>
      <c r="F87" s="119"/>
      <c r="G87" s="119"/>
      <c r="H87" s="119"/>
      <c r="I87" s="119"/>
      <c r="J87" s="1142"/>
      <c r="K87" s="1142"/>
    </row>
    <row r="88" spans="1:12" s="105" customFormat="1">
      <c r="A88" s="119"/>
      <c r="B88" s="164"/>
      <c r="C88" s="517"/>
      <c r="D88" s="119"/>
      <c r="E88" s="119"/>
      <c r="F88" s="119"/>
      <c r="G88" s="119"/>
      <c r="H88" s="119"/>
      <c r="I88" s="119"/>
      <c r="J88" s="1142"/>
      <c r="K88" s="1142"/>
    </row>
    <row r="89" spans="1:12" s="105" customFormat="1">
      <c r="A89" s="119"/>
      <c r="B89" s="164"/>
      <c r="C89" s="119"/>
      <c r="D89" s="119"/>
      <c r="E89" s="119"/>
      <c r="F89" s="119"/>
      <c r="G89" s="119"/>
      <c r="H89" s="119"/>
      <c r="I89" s="119"/>
      <c r="J89" s="1141"/>
      <c r="K89" s="1141"/>
    </row>
    <row r="90" spans="1:12">
      <c r="A90" s="170"/>
      <c r="B90" s="164"/>
      <c r="C90" s="170"/>
      <c r="D90" s="170"/>
      <c r="E90" s="170"/>
      <c r="F90" s="170"/>
      <c r="G90" s="170"/>
      <c r="H90" s="170"/>
      <c r="I90" s="170"/>
      <c r="J90" s="539"/>
      <c r="K90" s="539"/>
      <c r="L90" s="170"/>
    </row>
    <row r="91" spans="1:12">
      <c r="B91" s="104"/>
    </row>
    <row r="92" spans="1:12">
      <c r="B92" s="104"/>
    </row>
    <row r="93" spans="1:12">
      <c r="B93" s="104"/>
    </row>
    <row r="94" spans="1:12">
      <c r="B94" s="104"/>
    </row>
    <row r="95" spans="1:12">
      <c r="B95" s="104"/>
    </row>
    <row r="96" spans="1:12">
      <c r="B96" s="104"/>
    </row>
    <row r="97" spans="1:11">
      <c r="B97" s="104"/>
    </row>
    <row r="98" spans="1:11">
      <c r="B98" s="104"/>
    </row>
    <row r="99" spans="1:11">
      <c r="B99" s="104"/>
    </row>
    <row r="100" spans="1:11">
      <c r="B100" s="104"/>
    </row>
    <row r="101" spans="1:11">
      <c r="B101" s="104"/>
    </row>
    <row r="102" spans="1:11">
      <c r="B102" s="104"/>
    </row>
    <row r="103" spans="1:11">
      <c r="A103" s="1386"/>
      <c r="B103" s="1386"/>
      <c r="C103" s="1386"/>
      <c r="D103" s="1386"/>
      <c r="E103" s="1386"/>
      <c r="F103" s="1386"/>
      <c r="G103" s="1386"/>
      <c r="H103" s="1386"/>
      <c r="I103" s="1386"/>
      <c r="J103" s="1386"/>
      <c r="K103" s="142"/>
    </row>
    <row r="104" spans="1:11">
      <c r="B104" s="104"/>
    </row>
    <row r="105" spans="1:11">
      <c r="B105" s="104"/>
    </row>
    <row r="106" spans="1:11">
      <c r="B106" s="104"/>
    </row>
    <row r="107" spans="1:11">
      <c r="B107" s="104"/>
    </row>
    <row r="108" spans="1:11">
      <c r="B108" s="104"/>
    </row>
    <row r="109" spans="1:11">
      <c r="A109" s="1386"/>
      <c r="B109" s="1386"/>
      <c r="C109" s="1386"/>
      <c r="D109" s="1386"/>
      <c r="E109" s="1386"/>
      <c r="F109" s="1386"/>
      <c r="G109" s="1386"/>
      <c r="H109" s="1386"/>
      <c r="I109" s="1386"/>
      <c r="J109" s="1386"/>
      <c r="K109" s="142"/>
    </row>
    <row r="110" spans="1:11">
      <c r="B110" s="104"/>
    </row>
    <row r="111" spans="1:11">
      <c r="B111" s="104"/>
    </row>
    <row r="112" spans="1:11">
      <c r="B112" s="104"/>
    </row>
    <row r="113" spans="2:2">
      <c r="B113" s="104"/>
    </row>
    <row r="114" spans="2:2">
      <c r="B114" s="104"/>
    </row>
    <row r="115" spans="2:2">
      <c r="B115" s="104"/>
    </row>
    <row r="116" spans="2:2">
      <c r="B116" s="104"/>
    </row>
    <row r="117" spans="2:2">
      <c r="B117" s="104"/>
    </row>
    <row r="118" spans="2:2">
      <c r="B118" s="104"/>
    </row>
    <row r="119" spans="2:2">
      <c r="B119" s="104"/>
    </row>
    <row r="120" spans="2:2">
      <c r="B120" s="104"/>
    </row>
    <row r="121" spans="2:2">
      <c r="B121" s="104"/>
    </row>
    <row r="122" spans="2:2">
      <c r="B122" s="104"/>
    </row>
    <row r="123" spans="2:2">
      <c r="B123" s="104"/>
    </row>
    <row r="124" spans="2:2">
      <c r="B124" s="104"/>
    </row>
    <row r="125" spans="2:2">
      <c r="B125" s="104"/>
    </row>
    <row r="126" spans="2:2">
      <c r="B126" s="104"/>
    </row>
    <row r="127" spans="2:2">
      <c r="B127" s="104"/>
    </row>
    <row r="128" spans="2:2">
      <c r="B128" s="104"/>
    </row>
    <row r="129" spans="2:2">
      <c r="B129" s="104"/>
    </row>
    <row r="130" spans="2:2">
      <c r="B130" s="104"/>
    </row>
    <row r="131" spans="2:2">
      <c r="B131" s="104"/>
    </row>
  </sheetData>
  <mergeCells count="17">
    <mergeCell ref="B1:H1"/>
    <mergeCell ref="C16:H16"/>
    <mergeCell ref="C17:H17"/>
    <mergeCell ref="A5:C5"/>
    <mergeCell ref="A13:C13"/>
    <mergeCell ref="A2:C2"/>
    <mergeCell ref="A3:C3"/>
    <mergeCell ref="A46:C46"/>
    <mergeCell ref="A55:C55"/>
    <mergeCell ref="A64:B64"/>
    <mergeCell ref="A109:J109"/>
    <mergeCell ref="A19:C19"/>
    <mergeCell ref="A60:C60"/>
    <mergeCell ref="A103:J103"/>
    <mergeCell ref="A85:C85"/>
    <mergeCell ref="A37:C37"/>
    <mergeCell ref="A43:C43"/>
  </mergeCells>
  <pageMargins left="0.85" right="0.17" top="0.61" bottom="0.51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K101"/>
  <sheetViews>
    <sheetView workbookViewId="0">
      <selection activeCell="C7" sqref="C7:M38"/>
    </sheetView>
  </sheetViews>
  <sheetFormatPr defaultRowHeight="12.75"/>
  <cols>
    <col min="1" max="1" width="3.140625" customWidth="1"/>
    <col min="2" max="2" width="13.140625" customWidth="1"/>
    <col min="3" max="3" width="13.28515625" customWidth="1"/>
    <col min="10" max="10" width="11" customWidth="1"/>
    <col min="11" max="11" width="10.5703125" customWidth="1"/>
  </cols>
  <sheetData>
    <row r="1" spans="1:37">
      <c r="A1" s="1514" t="s">
        <v>1390</v>
      </c>
      <c r="B1" s="1462"/>
      <c r="C1" s="1462"/>
      <c r="D1" s="1462"/>
      <c r="E1" s="1462"/>
      <c r="F1" s="1462"/>
      <c r="G1" s="1462"/>
      <c r="H1" s="1462"/>
      <c r="I1" s="1462"/>
      <c r="J1" s="1462"/>
      <c r="K1" s="1462"/>
    </row>
    <row r="2" spans="1:37">
      <c r="A2" s="99"/>
      <c r="B2" s="99"/>
      <c r="C2" s="99"/>
      <c r="D2" s="99"/>
      <c r="E2" s="99"/>
      <c r="F2" s="99"/>
      <c r="G2" s="99"/>
      <c r="H2" s="99"/>
      <c r="I2" s="99"/>
      <c r="J2" s="1572" t="s">
        <v>825</v>
      </c>
      <c r="K2" s="1572"/>
      <c r="L2" s="1572"/>
      <c r="M2" s="1572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</row>
    <row r="3" spans="1:37" ht="12.75" customHeight="1">
      <c r="A3" s="866"/>
      <c r="B3" s="275"/>
      <c r="C3" s="275"/>
      <c r="D3" s="275" t="s">
        <v>1581</v>
      </c>
      <c r="E3" s="1564" t="s">
        <v>90</v>
      </c>
      <c r="F3" s="1561" t="s">
        <v>1582</v>
      </c>
      <c r="G3" s="1561" t="s">
        <v>826</v>
      </c>
      <c r="H3" s="860"/>
      <c r="I3" s="860"/>
      <c r="J3" s="860"/>
      <c r="K3" s="860"/>
      <c r="L3" s="275"/>
      <c r="M3" s="1561" t="s">
        <v>827</v>
      </c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</row>
    <row r="4" spans="1:37">
      <c r="A4" s="867"/>
      <c r="B4" s="857" t="s">
        <v>497</v>
      </c>
      <c r="C4" s="857" t="s">
        <v>89</v>
      </c>
      <c r="D4" s="857" t="s">
        <v>1583</v>
      </c>
      <c r="E4" s="1565"/>
      <c r="F4" s="1562"/>
      <c r="G4" s="1562"/>
      <c r="H4" s="868" t="s">
        <v>1584</v>
      </c>
      <c r="I4" s="868" t="s">
        <v>828</v>
      </c>
      <c r="J4" s="868" t="s">
        <v>1585</v>
      </c>
      <c r="K4" s="876" t="s">
        <v>829</v>
      </c>
      <c r="L4" s="857" t="s">
        <v>1586</v>
      </c>
      <c r="M4" s="1562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</row>
    <row r="5" spans="1:37">
      <c r="A5" s="867"/>
      <c r="B5" s="857"/>
      <c r="C5" s="857"/>
      <c r="D5" s="857" t="s">
        <v>1587</v>
      </c>
      <c r="E5" s="1565"/>
      <c r="F5" s="1562"/>
      <c r="G5" s="1562"/>
      <c r="H5" s="868" t="s">
        <v>1588</v>
      </c>
      <c r="I5" s="868" t="s">
        <v>830</v>
      </c>
      <c r="J5" s="868" t="s">
        <v>1589</v>
      </c>
      <c r="K5" s="868" t="s">
        <v>831</v>
      </c>
      <c r="L5" s="857"/>
      <c r="M5" s="156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</row>
    <row r="6" spans="1:37">
      <c r="A6" s="869"/>
      <c r="B6" s="857"/>
      <c r="C6" s="92"/>
      <c r="D6" s="92"/>
      <c r="E6" s="1566"/>
      <c r="F6" s="1563"/>
      <c r="G6" s="1563"/>
      <c r="H6" s="870"/>
      <c r="I6" s="870"/>
      <c r="J6" s="870" t="s">
        <v>831</v>
      </c>
      <c r="K6" s="870"/>
      <c r="L6" s="92"/>
      <c r="M6" s="1563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</row>
    <row r="7" spans="1:37">
      <c r="A7" s="1567">
        <v>1</v>
      </c>
      <c r="B7" s="1569" t="s">
        <v>280</v>
      </c>
      <c r="C7" s="1163" t="s">
        <v>91</v>
      </c>
      <c r="D7" s="728"/>
      <c r="E7" s="727">
        <v>6270</v>
      </c>
      <c r="F7" s="727"/>
      <c r="G7" s="727"/>
      <c r="H7" s="727">
        <v>0.3</v>
      </c>
      <c r="I7" s="727">
        <v>24.5</v>
      </c>
      <c r="J7" s="728">
        <v>0.1</v>
      </c>
      <c r="K7" s="728">
        <v>1.1000000000000001</v>
      </c>
      <c r="L7" s="728"/>
      <c r="M7" s="728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</row>
    <row r="8" spans="1:37">
      <c r="A8" s="1568"/>
      <c r="B8" s="1570"/>
      <c r="C8" s="1163" t="s">
        <v>92</v>
      </c>
      <c r="D8" s="728"/>
      <c r="E8" s="727">
        <v>60</v>
      </c>
      <c r="F8" s="727"/>
      <c r="G8" s="727"/>
      <c r="H8" s="727"/>
      <c r="I8" s="727"/>
      <c r="J8" s="728"/>
      <c r="K8" s="728"/>
      <c r="L8" s="728"/>
      <c r="M8" s="728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</row>
    <row r="9" spans="1:37">
      <c r="A9" s="1567">
        <v>2</v>
      </c>
      <c r="B9" s="1569" t="s">
        <v>281</v>
      </c>
      <c r="C9" s="1163" t="s">
        <v>91</v>
      </c>
      <c r="D9" s="728"/>
      <c r="E9" s="727">
        <v>5200.5</v>
      </c>
      <c r="F9" s="727">
        <v>24.4</v>
      </c>
      <c r="G9" s="727">
        <v>70</v>
      </c>
      <c r="H9" s="727">
        <v>19.5</v>
      </c>
      <c r="I9" s="727">
        <v>82.5</v>
      </c>
      <c r="J9" s="728">
        <v>2.2000000000000002</v>
      </c>
      <c r="K9" s="728">
        <v>2.7</v>
      </c>
      <c r="L9" s="728"/>
      <c r="M9" s="728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</row>
    <row r="10" spans="1:37">
      <c r="A10" s="1568"/>
      <c r="B10" s="1570"/>
      <c r="C10" s="1163" t="s">
        <v>92</v>
      </c>
      <c r="D10" s="728"/>
      <c r="E10" s="727">
        <v>5172.5</v>
      </c>
      <c r="F10" s="727">
        <v>24.4</v>
      </c>
      <c r="G10" s="727">
        <v>70</v>
      </c>
      <c r="H10" s="727">
        <v>19.5</v>
      </c>
      <c r="I10" s="727">
        <v>82.5</v>
      </c>
      <c r="J10" s="728">
        <v>2.2000000000000002</v>
      </c>
      <c r="K10" s="728">
        <v>2.7</v>
      </c>
      <c r="L10" s="728"/>
      <c r="M10" s="728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</row>
    <row r="11" spans="1:37">
      <c r="A11" s="1567">
        <v>3</v>
      </c>
      <c r="B11" s="1569" t="s">
        <v>282</v>
      </c>
      <c r="C11" s="1163" t="s">
        <v>91</v>
      </c>
      <c r="D11" s="728"/>
      <c r="E11" s="727">
        <v>2002</v>
      </c>
      <c r="F11" s="727">
        <v>0.2</v>
      </c>
      <c r="G11" s="727"/>
      <c r="H11" s="727">
        <v>0.7</v>
      </c>
      <c r="I11" s="727">
        <v>30.5</v>
      </c>
      <c r="J11" s="728"/>
      <c r="K11" s="728"/>
      <c r="L11" s="728"/>
      <c r="M11" s="728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</row>
    <row r="12" spans="1:37">
      <c r="A12" s="1568"/>
      <c r="B12" s="1570"/>
      <c r="C12" s="1163" t="s">
        <v>92</v>
      </c>
      <c r="D12" s="728"/>
      <c r="E12" s="727">
        <v>1493.9</v>
      </c>
      <c r="F12" s="727"/>
      <c r="G12" s="727"/>
      <c r="H12" s="727">
        <v>0.7</v>
      </c>
      <c r="I12" s="727">
        <v>30.5</v>
      </c>
      <c r="J12" s="728"/>
      <c r="K12" s="728"/>
      <c r="L12" s="728"/>
      <c r="M12" s="728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</row>
    <row r="13" spans="1:37">
      <c r="A13" s="1567">
        <v>4</v>
      </c>
      <c r="B13" s="1569" t="s">
        <v>283</v>
      </c>
      <c r="C13" s="1163" t="s">
        <v>91</v>
      </c>
      <c r="D13" s="728"/>
      <c r="E13" s="727">
        <v>1545</v>
      </c>
      <c r="F13" s="727"/>
      <c r="G13" s="727"/>
      <c r="H13" s="727">
        <v>0.5</v>
      </c>
      <c r="I13" s="727">
        <v>0.1</v>
      </c>
      <c r="J13" s="728">
        <v>0.09</v>
      </c>
      <c r="K13" s="728"/>
      <c r="L13" s="728"/>
      <c r="M13" s="728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</row>
    <row r="14" spans="1:37">
      <c r="A14" s="1568"/>
      <c r="B14" s="1570"/>
      <c r="C14" s="1163" t="s">
        <v>92</v>
      </c>
      <c r="D14" s="728"/>
      <c r="E14" s="727">
        <v>1545</v>
      </c>
      <c r="F14" s="727"/>
      <c r="G14" s="727"/>
      <c r="H14" s="727">
        <v>0.5</v>
      </c>
      <c r="I14" s="727">
        <v>0.1</v>
      </c>
      <c r="J14" s="728">
        <v>0.09</v>
      </c>
      <c r="K14" s="728"/>
      <c r="L14" s="728"/>
      <c r="M14" s="728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</row>
    <row r="15" spans="1:37">
      <c r="A15" s="1567">
        <v>5</v>
      </c>
      <c r="B15" s="1569" t="s">
        <v>284</v>
      </c>
      <c r="C15" s="1163" t="s">
        <v>91</v>
      </c>
      <c r="D15" s="728"/>
      <c r="E15" s="727">
        <v>6500</v>
      </c>
      <c r="F15" s="727"/>
      <c r="G15" s="727"/>
      <c r="H15" s="727"/>
      <c r="I15" s="727">
        <v>0.2</v>
      </c>
      <c r="J15" s="728"/>
      <c r="K15" s="728"/>
      <c r="L15" s="728"/>
      <c r="M15" s="728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</row>
    <row r="16" spans="1:37">
      <c r="A16" s="1568"/>
      <c r="B16" s="1570"/>
      <c r="C16" s="1163" t="s">
        <v>92</v>
      </c>
      <c r="D16" s="728"/>
      <c r="E16" s="727">
        <v>6455</v>
      </c>
      <c r="F16" s="727"/>
      <c r="G16" s="727"/>
      <c r="H16" s="727"/>
      <c r="I16" s="727"/>
      <c r="J16" s="728"/>
      <c r="K16" s="728"/>
      <c r="L16" s="728"/>
      <c r="M16" s="728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</row>
    <row r="17" spans="1:37">
      <c r="A17" s="1567">
        <v>6</v>
      </c>
      <c r="B17" s="1569" t="s">
        <v>285</v>
      </c>
      <c r="C17" s="1163" t="s">
        <v>91</v>
      </c>
      <c r="D17" s="728"/>
      <c r="E17" s="727">
        <v>1250.0999999999999</v>
      </c>
      <c r="F17" s="727"/>
      <c r="G17" s="727"/>
      <c r="H17" s="727"/>
      <c r="I17" s="728">
        <v>0.5</v>
      </c>
      <c r="J17" s="728"/>
      <c r="K17" s="728"/>
      <c r="L17" s="728"/>
      <c r="M17" s="728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</row>
    <row r="18" spans="1:37">
      <c r="A18" s="1568"/>
      <c r="B18" s="1570"/>
      <c r="C18" s="1163" t="s">
        <v>92</v>
      </c>
      <c r="D18" s="728"/>
      <c r="E18" s="727">
        <v>1250.0999999999999</v>
      </c>
      <c r="F18" s="727"/>
      <c r="G18" s="727"/>
      <c r="H18" s="727"/>
      <c r="I18" s="728">
        <v>0.5</v>
      </c>
      <c r="J18" s="728"/>
      <c r="K18" s="728"/>
      <c r="L18" s="728"/>
      <c r="M18" s="728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</row>
    <row r="19" spans="1:37">
      <c r="A19" s="1567">
        <v>7</v>
      </c>
      <c r="B19" s="1569" t="s">
        <v>286</v>
      </c>
      <c r="C19" s="1163" t="s">
        <v>91</v>
      </c>
      <c r="D19" s="728"/>
      <c r="E19" s="727">
        <v>1964.1</v>
      </c>
      <c r="F19" s="733">
        <v>0.01</v>
      </c>
      <c r="G19" s="727">
        <v>0.5</v>
      </c>
      <c r="H19" s="727">
        <v>21.2</v>
      </c>
      <c r="I19" s="727">
        <v>53.8</v>
      </c>
      <c r="J19" s="728">
        <v>1</v>
      </c>
      <c r="K19" s="728">
        <v>100</v>
      </c>
      <c r="L19" s="728"/>
      <c r="M19" s="728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</row>
    <row r="20" spans="1:37">
      <c r="A20" s="1568"/>
      <c r="B20" s="1570"/>
      <c r="C20" s="1163" t="s">
        <v>92</v>
      </c>
      <c r="D20" s="728"/>
      <c r="E20" s="727">
        <v>1659.1</v>
      </c>
      <c r="F20" s="733">
        <v>0.01</v>
      </c>
      <c r="G20" s="727">
        <v>0.5</v>
      </c>
      <c r="H20" s="727">
        <v>21.2</v>
      </c>
      <c r="I20" s="727">
        <v>53.8</v>
      </c>
      <c r="J20" s="728">
        <v>1</v>
      </c>
      <c r="K20" s="728">
        <v>100</v>
      </c>
      <c r="L20" s="728"/>
      <c r="M20" s="728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</row>
    <row r="21" spans="1:37">
      <c r="A21" s="1567">
        <v>8</v>
      </c>
      <c r="B21" s="1569" t="s">
        <v>287</v>
      </c>
      <c r="C21" s="1163" t="s">
        <v>91</v>
      </c>
      <c r="D21" s="728"/>
      <c r="E21" s="727">
        <v>1472</v>
      </c>
      <c r="F21" s="727"/>
      <c r="G21" s="727"/>
      <c r="H21" s="727"/>
      <c r="I21" s="727">
        <v>7</v>
      </c>
      <c r="J21" s="728">
        <v>0.1</v>
      </c>
      <c r="K21" s="728">
        <v>0.9</v>
      </c>
      <c r="L21" s="728"/>
      <c r="M21" s="728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</row>
    <row r="22" spans="1:37">
      <c r="A22" s="1568"/>
      <c r="B22" s="1570"/>
      <c r="C22" s="1163" t="s">
        <v>92</v>
      </c>
      <c r="D22" s="728"/>
      <c r="E22" s="727">
        <v>1373</v>
      </c>
      <c r="F22" s="727"/>
      <c r="G22" s="727"/>
      <c r="H22" s="727"/>
      <c r="I22" s="727">
        <v>2</v>
      </c>
      <c r="J22" s="728"/>
      <c r="K22" s="728">
        <v>0.9</v>
      </c>
      <c r="L22" s="728"/>
      <c r="M22" s="728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</row>
    <row r="23" spans="1:37">
      <c r="A23" s="1567">
        <v>9</v>
      </c>
      <c r="B23" s="1569" t="s">
        <v>288</v>
      </c>
      <c r="C23" s="1163" t="s">
        <v>91</v>
      </c>
      <c r="D23" s="728"/>
      <c r="E23" s="727">
        <v>4140</v>
      </c>
      <c r="F23" s="727"/>
      <c r="G23" s="727"/>
      <c r="H23" s="727">
        <v>2.4</v>
      </c>
      <c r="I23" s="727">
        <v>92.3</v>
      </c>
      <c r="J23" s="728"/>
      <c r="K23" s="728"/>
      <c r="L23" s="728"/>
      <c r="M23" s="728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</row>
    <row r="24" spans="1:37">
      <c r="A24" s="1568"/>
      <c r="B24" s="1570"/>
      <c r="C24" s="1163" t="s">
        <v>92</v>
      </c>
      <c r="D24" s="728"/>
      <c r="E24" s="727">
        <v>4140</v>
      </c>
      <c r="F24" s="727"/>
      <c r="G24" s="727"/>
      <c r="H24" s="727">
        <v>2.4</v>
      </c>
      <c r="I24" s="727">
        <v>92.3</v>
      </c>
      <c r="J24" s="728"/>
      <c r="K24" s="728"/>
      <c r="L24" s="728"/>
      <c r="M24" s="728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</row>
    <row r="25" spans="1:37">
      <c r="A25" s="1567">
        <v>10</v>
      </c>
      <c r="B25" s="1569" t="s">
        <v>289</v>
      </c>
      <c r="C25" s="1163" t="s">
        <v>91</v>
      </c>
      <c r="D25" s="728"/>
      <c r="E25" s="727">
        <v>7436</v>
      </c>
      <c r="F25" s="727">
        <v>1.5</v>
      </c>
      <c r="G25" s="727"/>
      <c r="H25" s="727">
        <v>6.1</v>
      </c>
      <c r="I25" s="727">
        <v>439.8</v>
      </c>
      <c r="J25" s="727">
        <v>0.1</v>
      </c>
      <c r="K25" s="727">
        <v>5</v>
      </c>
      <c r="L25" s="728"/>
      <c r="M25" s="728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</row>
    <row r="26" spans="1:37">
      <c r="A26" s="1571"/>
      <c r="B26" s="1570"/>
      <c r="C26" s="1163" t="s">
        <v>92</v>
      </c>
      <c r="D26" s="728"/>
      <c r="E26" s="727">
        <v>7286</v>
      </c>
      <c r="F26" s="727">
        <v>1.5</v>
      </c>
      <c r="G26" s="727"/>
      <c r="H26" s="727">
        <v>6.1</v>
      </c>
      <c r="I26" s="727">
        <v>431.8</v>
      </c>
      <c r="J26" s="727">
        <v>0.1</v>
      </c>
      <c r="K26" s="727">
        <v>5</v>
      </c>
      <c r="L26" s="728"/>
      <c r="M26" s="728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</row>
    <row r="27" spans="1:37">
      <c r="A27" s="1567">
        <v>11</v>
      </c>
      <c r="B27" s="1569" t="s">
        <v>290</v>
      </c>
      <c r="C27" s="1163" t="s">
        <v>91</v>
      </c>
      <c r="D27" s="728"/>
      <c r="E27" s="727">
        <v>7001</v>
      </c>
      <c r="F27" s="727"/>
      <c r="G27" s="727">
        <v>1.3</v>
      </c>
      <c r="H27" s="727">
        <v>1.7</v>
      </c>
      <c r="I27" s="727">
        <v>12.4</v>
      </c>
      <c r="J27" s="728">
        <v>1.6</v>
      </c>
      <c r="K27" s="728">
        <v>7.6</v>
      </c>
      <c r="L27" s="728"/>
      <c r="M27" s="728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</row>
    <row r="28" spans="1:37">
      <c r="A28" s="1568"/>
      <c r="B28" s="1570"/>
      <c r="C28" s="1163" t="s">
        <v>92</v>
      </c>
      <c r="D28" s="728"/>
      <c r="E28" s="727">
        <v>6991</v>
      </c>
      <c r="F28" s="727"/>
      <c r="G28" s="727">
        <v>1.3</v>
      </c>
      <c r="H28" s="727">
        <v>1.7</v>
      </c>
      <c r="I28" s="727">
        <v>12.4</v>
      </c>
      <c r="J28" s="728">
        <v>1.6</v>
      </c>
      <c r="K28" s="728">
        <v>7.6</v>
      </c>
      <c r="L28" s="728"/>
      <c r="M28" s="728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</row>
    <row r="29" spans="1:37">
      <c r="A29" s="1567">
        <v>12</v>
      </c>
      <c r="B29" s="1569" t="s">
        <v>291</v>
      </c>
      <c r="C29" s="1163" t="s">
        <v>91</v>
      </c>
      <c r="D29" s="728"/>
      <c r="E29" s="727">
        <v>3000</v>
      </c>
      <c r="F29" s="727"/>
      <c r="G29" s="727">
        <v>0.2</v>
      </c>
      <c r="H29" s="727">
        <v>31.3</v>
      </c>
      <c r="I29" s="728">
        <v>0.7</v>
      </c>
      <c r="J29" s="728"/>
      <c r="K29" s="728"/>
      <c r="L29" s="728"/>
      <c r="M29" s="728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</row>
    <row r="30" spans="1:37">
      <c r="A30" s="1568"/>
      <c r="B30" s="1570"/>
      <c r="C30" s="1163" t="s">
        <v>92</v>
      </c>
      <c r="D30" s="728"/>
      <c r="E30" s="727">
        <v>2500</v>
      </c>
      <c r="F30" s="727"/>
      <c r="G30" s="727">
        <v>0.2</v>
      </c>
      <c r="H30" s="727">
        <v>31.3</v>
      </c>
      <c r="I30" s="728">
        <v>0.7</v>
      </c>
      <c r="J30" s="728"/>
      <c r="K30" s="728"/>
      <c r="L30" s="728"/>
      <c r="M30" s="728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</row>
    <row r="31" spans="1:37">
      <c r="A31" s="1567">
        <v>13</v>
      </c>
      <c r="B31" s="1569" t="s">
        <v>292</v>
      </c>
      <c r="C31" s="1163" t="s">
        <v>91</v>
      </c>
      <c r="D31" s="728"/>
      <c r="E31" s="727">
        <v>1622</v>
      </c>
      <c r="F31" s="727"/>
      <c r="G31" s="727"/>
      <c r="H31" s="727"/>
      <c r="I31" s="728"/>
      <c r="J31" s="728"/>
      <c r="K31" s="728"/>
      <c r="L31" s="728"/>
      <c r="M31" s="728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</row>
    <row r="32" spans="1:37">
      <c r="A32" s="1568"/>
      <c r="B32" s="1570"/>
      <c r="C32" s="1163" t="s">
        <v>92</v>
      </c>
      <c r="D32" s="728"/>
      <c r="E32" s="727">
        <v>1547</v>
      </c>
      <c r="F32" s="727"/>
      <c r="G32" s="727"/>
      <c r="H32" s="727"/>
      <c r="I32" s="728"/>
      <c r="J32" s="728"/>
      <c r="K32" s="728"/>
      <c r="L32" s="728"/>
      <c r="M32" s="728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</row>
    <row r="33" spans="1:37">
      <c r="A33" s="1567">
        <v>14</v>
      </c>
      <c r="B33" s="1569" t="s">
        <v>293</v>
      </c>
      <c r="C33" s="1163" t="s">
        <v>91</v>
      </c>
      <c r="D33" s="728"/>
      <c r="E33" s="727">
        <v>5863.4</v>
      </c>
      <c r="F33" s="727">
        <v>7</v>
      </c>
      <c r="G33" s="727">
        <v>2.4</v>
      </c>
      <c r="H33" s="727">
        <v>15.9</v>
      </c>
      <c r="I33" s="728">
        <v>29.6</v>
      </c>
      <c r="J33" s="728">
        <v>8.5</v>
      </c>
      <c r="K33" s="728">
        <v>20.3</v>
      </c>
      <c r="L33" s="728">
        <v>0.4</v>
      </c>
      <c r="M33" s="728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</row>
    <row r="34" spans="1:37">
      <c r="A34" s="1568"/>
      <c r="B34" s="1570"/>
      <c r="C34" s="1163" t="s">
        <v>92</v>
      </c>
      <c r="D34" s="728"/>
      <c r="E34" s="727">
        <v>5495.4</v>
      </c>
      <c r="F34" s="727">
        <v>6</v>
      </c>
      <c r="G34" s="727">
        <v>2.4</v>
      </c>
      <c r="H34" s="727">
        <v>15.9</v>
      </c>
      <c r="I34" s="728">
        <v>0.4</v>
      </c>
      <c r="J34" s="728">
        <v>8.5</v>
      </c>
      <c r="K34" s="728">
        <v>20.3</v>
      </c>
      <c r="L34" s="728">
        <v>0.4</v>
      </c>
      <c r="M34" s="728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</row>
    <row r="35" spans="1:37">
      <c r="A35" s="1574" t="s">
        <v>498</v>
      </c>
      <c r="B35" s="1575"/>
      <c r="C35" s="1179" t="s">
        <v>91</v>
      </c>
      <c r="D35" s="728">
        <f>SUM(D7+D9+D11+D13+D15+D17+D19+D21+D23+D25+D27+D29+D31+D33)</f>
        <v>0</v>
      </c>
      <c r="E35" s="727">
        <f t="shared" ref="E35:M35" si="0">SUM(E7+E9+E11+E13+E15+E17+E19+E21+E23+E25+E27+E29+E31+E33)</f>
        <v>55266.1</v>
      </c>
      <c r="F35" s="727"/>
      <c r="G35" s="727">
        <f t="shared" si="0"/>
        <v>74.400000000000006</v>
      </c>
      <c r="H35" s="727">
        <f t="shared" si="0"/>
        <v>99.600000000000009</v>
      </c>
      <c r="I35" s="728">
        <f t="shared" si="0"/>
        <v>773.90000000000009</v>
      </c>
      <c r="J35" s="727">
        <f t="shared" si="0"/>
        <v>13.690000000000001</v>
      </c>
      <c r="K35" s="728">
        <f t="shared" si="0"/>
        <v>137.6</v>
      </c>
      <c r="L35" s="728">
        <f t="shared" si="0"/>
        <v>0.4</v>
      </c>
      <c r="M35" s="728">
        <f t="shared" si="0"/>
        <v>0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</row>
    <row r="36" spans="1:37">
      <c r="A36" s="1576"/>
      <c r="B36" s="1577"/>
      <c r="C36" s="1179" t="s">
        <v>92</v>
      </c>
      <c r="D36" s="728">
        <f t="shared" ref="D36:M36" si="1">SUM(D8+D10+D12+D14+D16+D18+D20+D22+D24+D26+D28+D30+D32+D34)</f>
        <v>0</v>
      </c>
      <c r="E36" s="727">
        <f t="shared" si="1"/>
        <v>46968</v>
      </c>
      <c r="F36" s="727"/>
      <c r="G36" s="727">
        <f t="shared" si="1"/>
        <v>74.400000000000006</v>
      </c>
      <c r="H36" s="727">
        <f t="shared" si="1"/>
        <v>99.300000000000011</v>
      </c>
      <c r="I36" s="727">
        <f t="shared" si="1"/>
        <v>707</v>
      </c>
      <c r="J36" s="727">
        <f t="shared" si="1"/>
        <v>13.49</v>
      </c>
      <c r="K36" s="728">
        <f t="shared" si="1"/>
        <v>136.5</v>
      </c>
      <c r="L36" s="728">
        <f t="shared" si="1"/>
        <v>0.4</v>
      </c>
      <c r="M36" s="728">
        <f t="shared" si="1"/>
        <v>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</row>
    <row r="37" spans="1:37" ht="12.75" customHeight="1">
      <c r="A37" s="1574" t="s">
        <v>1208</v>
      </c>
      <c r="B37" s="1575"/>
      <c r="C37" s="1179" t="s">
        <v>91</v>
      </c>
      <c r="D37" s="728">
        <v>1013</v>
      </c>
      <c r="E37" s="727">
        <v>57027.9</v>
      </c>
      <c r="F37" s="727"/>
      <c r="G37" s="727">
        <v>42.300000000000004</v>
      </c>
      <c r="H37" s="727">
        <v>182.8</v>
      </c>
      <c r="I37" s="728">
        <v>979.4</v>
      </c>
      <c r="J37" s="728">
        <v>10</v>
      </c>
      <c r="K37" s="728">
        <v>0</v>
      </c>
      <c r="L37" s="728">
        <v>0</v>
      </c>
      <c r="M37" s="728">
        <v>4</v>
      </c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</row>
    <row r="38" spans="1:37">
      <c r="A38" s="1576"/>
      <c r="B38" s="1577"/>
      <c r="C38" s="1179" t="s">
        <v>92</v>
      </c>
      <c r="D38" s="728">
        <v>1013</v>
      </c>
      <c r="E38" s="727">
        <v>56530.400000000001</v>
      </c>
      <c r="F38" s="727"/>
      <c r="G38" s="727">
        <v>42.300000000000004</v>
      </c>
      <c r="H38" s="727">
        <v>182.8</v>
      </c>
      <c r="I38" s="727">
        <v>979.43000000000006</v>
      </c>
      <c r="J38" s="1178">
        <v>10</v>
      </c>
      <c r="K38" s="728">
        <v>0</v>
      </c>
      <c r="L38" s="728">
        <v>0</v>
      </c>
      <c r="M38" s="728">
        <v>0</v>
      </c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</row>
    <row r="39" spans="1:37" ht="12.75" customHeight="1">
      <c r="K39" s="390"/>
      <c r="L39" s="84"/>
      <c r="M39" s="99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</row>
    <row r="40" spans="1:37">
      <c r="A40" s="1573">
        <v>38</v>
      </c>
      <c r="B40" s="1573"/>
      <c r="C40" s="1573"/>
      <c r="D40" s="1573"/>
      <c r="E40" s="1573"/>
      <c r="F40" s="1573"/>
      <c r="G40" s="1573"/>
      <c r="H40" s="1573"/>
      <c r="I40" s="1573"/>
      <c r="J40" s="1573"/>
      <c r="K40" s="1573"/>
      <c r="L40" s="1573"/>
      <c r="M40" s="1573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</row>
    <row r="41" spans="1:37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</row>
    <row r="42" spans="1:37">
      <c r="B42" s="88"/>
      <c r="C42" s="88"/>
      <c r="D42" s="88"/>
      <c r="E42" s="88"/>
      <c r="F42" s="88"/>
      <c r="G42" s="88"/>
      <c r="H42" s="88"/>
      <c r="I42" s="88"/>
      <c r="J42" s="88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</row>
    <row r="43" spans="1:37">
      <c r="B43" s="88"/>
      <c r="C43" s="88"/>
      <c r="D43" s="88"/>
      <c r="E43" s="88"/>
      <c r="F43" s="88"/>
      <c r="G43" s="88"/>
      <c r="H43" s="88"/>
      <c r="I43" s="88"/>
      <c r="J43" s="88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</row>
    <row r="44" spans="1:37">
      <c r="B44" s="88"/>
      <c r="C44" s="88"/>
      <c r="D44" s="88"/>
      <c r="E44" s="88"/>
      <c r="F44" s="88"/>
      <c r="G44" s="88"/>
      <c r="H44" s="88"/>
      <c r="I44" s="88"/>
      <c r="J44" s="88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</row>
    <row r="45" spans="1:37">
      <c r="B45" s="88"/>
      <c r="C45" s="88"/>
      <c r="D45" s="88"/>
      <c r="E45" s="88"/>
      <c r="F45" s="88"/>
      <c r="G45" s="88"/>
      <c r="H45" s="88"/>
      <c r="I45" s="88"/>
      <c r="J45" s="88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</row>
    <row r="46" spans="1:37">
      <c r="B46" s="88"/>
      <c r="C46" s="88"/>
      <c r="D46" s="88"/>
      <c r="E46" s="88"/>
      <c r="F46" s="88"/>
      <c r="G46" s="88"/>
      <c r="H46" s="88"/>
      <c r="I46" s="88"/>
      <c r="J46" s="88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</row>
    <row r="47" spans="1:37">
      <c r="B47" s="88"/>
      <c r="C47" s="88"/>
      <c r="D47" s="88"/>
      <c r="E47" s="88"/>
      <c r="F47" s="88"/>
      <c r="G47" s="88"/>
      <c r="H47" s="88"/>
      <c r="I47" s="88"/>
      <c r="J47" s="88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</row>
    <row r="48" spans="1:37">
      <c r="B48" s="88"/>
      <c r="C48" s="88"/>
      <c r="D48" s="88"/>
      <c r="E48" s="88"/>
      <c r="F48" s="88"/>
      <c r="G48" s="88"/>
      <c r="H48" s="88"/>
      <c r="I48" s="88"/>
      <c r="J48" s="88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</row>
    <row r="49" spans="2:37">
      <c r="B49" s="88"/>
      <c r="C49" s="88"/>
      <c r="D49" s="88"/>
      <c r="E49" s="88"/>
      <c r="F49" s="88"/>
      <c r="G49" s="88"/>
      <c r="H49" s="88"/>
      <c r="I49" s="88"/>
      <c r="J49" s="88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</row>
    <row r="50" spans="2:37"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</row>
    <row r="51" spans="2:37">
      <c r="B51" s="88"/>
      <c r="C51" s="88"/>
      <c r="D51" s="88"/>
      <c r="E51" s="88"/>
      <c r="F51" s="88"/>
      <c r="G51" s="88"/>
      <c r="H51" s="88"/>
      <c r="I51" s="88"/>
      <c r="J51" s="88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</row>
    <row r="52" spans="2:37">
      <c r="B52" s="88"/>
      <c r="C52" s="88"/>
      <c r="D52" s="88"/>
      <c r="E52" s="88"/>
      <c r="F52" s="88"/>
      <c r="G52" s="88"/>
      <c r="H52" s="88"/>
      <c r="I52" s="88"/>
      <c r="J52" s="88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</row>
    <row r="53" spans="2:37">
      <c r="B53" s="88"/>
      <c r="C53" s="88"/>
      <c r="D53" s="88"/>
      <c r="E53" s="88"/>
      <c r="F53" s="88"/>
      <c r="G53" s="88"/>
      <c r="H53" s="88"/>
      <c r="I53" s="88"/>
      <c r="J53" s="88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</row>
    <row r="54" spans="2:37">
      <c r="B54" s="88"/>
      <c r="C54" s="88"/>
      <c r="D54" s="88"/>
      <c r="E54" s="88"/>
      <c r="F54" s="88"/>
      <c r="G54" s="88"/>
      <c r="H54" s="88"/>
      <c r="I54" s="88"/>
      <c r="J54" s="88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</row>
    <row r="55" spans="2:37">
      <c r="B55" s="88"/>
      <c r="C55" s="88"/>
      <c r="D55" s="88"/>
      <c r="E55" s="88"/>
      <c r="F55" s="88"/>
      <c r="G55" s="88"/>
      <c r="H55" s="88"/>
      <c r="I55" s="88"/>
      <c r="J55" s="88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</row>
    <row r="56" spans="2:37">
      <c r="B56" s="88"/>
      <c r="C56" s="88"/>
      <c r="D56" s="88"/>
      <c r="E56" s="88"/>
      <c r="F56" s="88"/>
      <c r="G56" s="88"/>
      <c r="H56" s="88"/>
      <c r="I56" s="88"/>
      <c r="J56" s="88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</row>
    <row r="57" spans="2:37">
      <c r="B57" s="88"/>
      <c r="C57" s="88"/>
      <c r="D57" s="88"/>
      <c r="E57" s="88"/>
      <c r="F57" s="88"/>
      <c r="G57" s="88"/>
      <c r="H57" s="88"/>
      <c r="I57" s="88"/>
      <c r="J57" s="88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</row>
    <row r="58" spans="2:37">
      <c r="B58" s="88"/>
      <c r="C58" s="88"/>
      <c r="D58" s="88"/>
      <c r="E58" s="88"/>
      <c r="F58" s="88"/>
      <c r="G58" s="88"/>
      <c r="H58" s="88"/>
      <c r="I58" s="88"/>
      <c r="J58" s="88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</row>
    <row r="59" spans="2:37">
      <c r="B59" s="88"/>
      <c r="C59" s="88"/>
      <c r="D59" s="88"/>
      <c r="E59" s="88"/>
      <c r="F59" s="88"/>
      <c r="G59" s="88"/>
      <c r="H59" s="88"/>
      <c r="I59" s="88"/>
      <c r="J59" s="88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</row>
    <row r="60" spans="2:37">
      <c r="B60" s="88"/>
      <c r="C60" s="88"/>
      <c r="D60" s="88"/>
      <c r="E60" s="88"/>
      <c r="F60" s="88"/>
      <c r="G60" s="88"/>
      <c r="H60" s="88"/>
      <c r="I60" s="88"/>
      <c r="J60" s="88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</row>
    <row r="61" spans="2:37">
      <c r="B61" s="88"/>
      <c r="C61" s="88"/>
      <c r="D61" s="88"/>
      <c r="E61" s="88"/>
      <c r="F61" s="88"/>
      <c r="G61" s="88"/>
      <c r="H61" s="88"/>
      <c r="I61" s="88"/>
      <c r="J61" s="88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</row>
    <row r="62" spans="2:37">
      <c r="B62" s="88"/>
      <c r="C62" s="88"/>
      <c r="D62" s="88"/>
      <c r="E62" s="88"/>
      <c r="F62" s="88"/>
      <c r="G62" s="88"/>
      <c r="H62" s="88"/>
      <c r="I62" s="88"/>
      <c r="J62" s="88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</row>
    <row r="63" spans="2:37">
      <c r="B63" s="88"/>
      <c r="C63" s="88"/>
      <c r="D63" s="88"/>
      <c r="E63" s="88"/>
      <c r="F63" s="88"/>
      <c r="G63" s="88"/>
      <c r="H63" s="88"/>
      <c r="I63" s="88"/>
      <c r="J63" s="88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</row>
    <row r="64" spans="2:37">
      <c r="B64" s="88"/>
      <c r="C64" s="88"/>
      <c r="D64" s="88"/>
      <c r="E64" s="88"/>
      <c r="F64" s="88"/>
      <c r="G64" s="88"/>
      <c r="H64" s="84"/>
      <c r="I64" s="88"/>
      <c r="J64" s="88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</row>
    <row r="65" spans="2:37"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</row>
    <row r="66" spans="2:37"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</row>
    <row r="67" spans="2:37"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</row>
    <row r="68" spans="2:37"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</row>
    <row r="69" spans="2:37"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</row>
    <row r="70" spans="2:37"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</row>
    <row r="71" spans="2:37"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</row>
    <row r="72" spans="2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</row>
    <row r="73" spans="2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</row>
    <row r="74" spans="2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</row>
    <row r="75" spans="2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</row>
    <row r="76" spans="2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</row>
    <row r="77" spans="2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</row>
    <row r="78" spans="2:37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</row>
    <row r="79" spans="2:37"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</row>
    <row r="80" spans="2:37"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</row>
    <row r="81" spans="2:37"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</row>
    <row r="82" spans="2:37"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</row>
    <row r="83" spans="2:37"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</row>
    <row r="84" spans="2:37"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</row>
    <row r="85" spans="2:37"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</row>
    <row r="86" spans="2:37"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</row>
    <row r="87" spans="2:37"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</row>
    <row r="88" spans="2:37"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</row>
    <row r="89" spans="2:37"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</row>
    <row r="90" spans="2:37"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</row>
    <row r="91" spans="2:37"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</row>
    <row r="92" spans="2:37"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</row>
    <row r="93" spans="2:37"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</row>
    <row r="94" spans="2:37"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</row>
    <row r="95" spans="2:37"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</row>
    <row r="96" spans="2:37"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</row>
    <row r="97" spans="2:37"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</row>
    <row r="98" spans="2:37"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</row>
    <row r="99" spans="2:37"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</row>
    <row r="100" spans="2:37"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</row>
    <row r="101" spans="2:37">
      <c r="B101" s="84"/>
      <c r="C101" s="84"/>
      <c r="D101" s="84"/>
      <c r="E101" s="84"/>
      <c r="F101" s="84"/>
      <c r="G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</row>
  </sheetData>
  <mergeCells count="37">
    <mergeCell ref="J2:M2"/>
    <mergeCell ref="A40:M40"/>
    <mergeCell ref="A23:A24"/>
    <mergeCell ref="A1:K1"/>
    <mergeCell ref="A31:A32"/>
    <mergeCell ref="B31:B32"/>
    <mergeCell ref="A33:A34"/>
    <mergeCell ref="B33:B34"/>
    <mergeCell ref="A35:B36"/>
    <mergeCell ref="A37:B38"/>
    <mergeCell ref="B17:B18"/>
    <mergeCell ref="B25:B26"/>
    <mergeCell ref="A27:A28"/>
    <mergeCell ref="B27:B28"/>
    <mergeCell ref="A29:A30"/>
    <mergeCell ref="B29:B30"/>
    <mergeCell ref="B21:B22"/>
    <mergeCell ref="A19:A20"/>
    <mergeCell ref="B19:B20"/>
    <mergeCell ref="A21:A22"/>
    <mergeCell ref="A25:A26"/>
    <mergeCell ref="B23:B24"/>
    <mergeCell ref="A9:A10"/>
    <mergeCell ref="B9:B10"/>
    <mergeCell ref="A11:A12"/>
    <mergeCell ref="B11:B12"/>
    <mergeCell ref="A17:A18"/>
    <mergeCell ref="A13:A14"/>
    <mergeCell ref="B13:B14"/>
    <mergeCell ref="A15:A16"/>
    <mergeCell ref="B15:B16"/>
    <mergeCell ref="M3:M6"/>
    <mergeCell ref="E3:E6"/>
    <mergeCell ref="F3:F6"/>
    <mergeCell ref="G3:G6"/>
    <mergeCell ref="A7:A8"/>
    <mergeCell ref="B7:B8"/>
  </mergeCells>
  <pageMargins left="0.7" right="0.7" top="0.75" bottom="0.75" header="0.3" footer="0.3"/>
  <pageSetup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0"/>
  <sheetViews>
    <sheetView workbookViewId="0">
      <selection activeCell="C6" sqref="C6:N21"/>
    </sheetView>
  </sheetViews>
  <sheetFormatPr defaultRowHeight="12.75"/>
  <cols>
    <col min="1" max="1" width="15.28515625" style="99" customWidth="1"/>
    <col min="2" max="2" width="9.140625" style="234"/>
    <col min="3" max="3" width="8.85546875" style="99" customWidth="1"/>
    <col min="4" max="4" width="8.7109375" style="99" customWidth="1"/>
    <col min="5" max="5" width="8.140625" style="99" customWidth="1"/>
    <col min="6" max="6" width="9.5703125" style="99" customWidth="1"/>
    <col min="7" max="7" width="8" style="99" customWidth="1"/>
    <col min="8" max="9" width="6.7109375" style="99" customWidth="1"/>
    <col min="10" max="10" width="8.7109375" style="99" customWidth="1"/>
    <col min="11" max="11" width="7.85546875" style="99" customWidth="1"/>
    <col min="12" max="12" width="8.85546875" style="99" customWidth="1"/>
    <col min="13" max="13" width="10.7109375" style="99" customWidth="1"/>
    <col min="14" max="14" width="7.140625" style="99" customWidth="1"/>
    <col min="15" max="16384" width="9.140625" style="99"/>
  </cols>
  <sheetData>
    <row r="1" spans="1:14">
      <c r="A1" s="1514" t="s">
        <v>1389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</row>
    <row r="2" spans="1:14" ht="17.25" customHeight="1"/>
    <row r="3" spans="1:14" ht="13.5" customHeight="1">
      <c r="A3" s="1580"/>
      <c r="B3" s="1564" t="s">
        <v>61</v>
      </c>
      <c r="C3" s="1578" t="s">
        <v>62</v>
      </c>
      <c r="D3" s="858"/>
      <c r="E3" s="861" t="s">
        <v>275</v>
      </c>
      <c r="F3" s="861"/>
      <c r="G3" s="861"/>
      <c r="H3" s="859"/>
      <c r="I3" s="1585" t="s">
        <v>1635</v>
      </c>
      <c r="J3" s="1588" t="s">
        <v>34</v>
      </c>
      <c r="K3" s="1588" t="s">
        <v>1591</v>
      </c>
      <c r="L3" s="1585" t="s">
        <v>1636</v>
      </c>
      <c r="M3" s="1588" t="s">
        <v>1592</v>
      </c>
      <c r="N3" s="1585" t="s">
        <v>1593</v>
      </c>
    </row>
    <row r="4" spans="1:14" ht="25.5" customHeight="1">
      <c r="A4" s="1581"/>
      <c r="B4" s="1565"/>
      <c r="C4" s="1583"/>
      <c r="D4" s="1589" t="s">
        <v>1594</v>
      </c>
      <c r="E4" s="1589" t="s">
        <v>1595</v>
      </c>
      <c r="F4" s="1578" t="s">
        <v>63</v>
      </c>
      <c r="G4" s="1578" t="s">
        <v>1596</v>
      </c>
      <c r="H4" s="1589" t="s">
        <v>1597</v>
      </c>
      <c r="I4" s="1586"/>
      <c r="J4" s="1586"/>
      <c r="K4" s="1586"/>
      <c r="L4" s="1586"/>
      <c r="M4" s="1586"/>
      <c r="N4" s="1586"/>
    </row>
    <row r="5" spans="1:14" ht="35.25" customHeight="1">
      <c r="A5" s="1582"/>
      <c r="B5" s="1566"/>
      <c r="C5" s="1584"/>
      <c r="D5" s="1584"/>
      <c r="E5" s="1584"/>
      <c r="F5" s="1579"/>
      <c r="G5" s="1579"/>
      <c r="H5" s="1584"/>
      <c r="I5" s="1587"/>
      <c r="J5" s="1587"/>
      <c r="K5" s="1587"/>
      <c r="L5" s="1587"/>
      <c r="M5" s="1587"/>
      <c r="N5" s="1587"/>
    </row>
    <row r="6" spans="1:14" ht="18" customHeight="1">
      <c r="A6" s="689" t="s">
        <v>280</v>
      </c>
      <c r="B6" s="751">
        <v>4</v>
      </c>
      <c r="C6" s="728">
        <f>SUM(D6+E6+F6+G6+H6)</f>
        <v>265</v>
      </c>
      <c r="D6" s="746">
        <v>231</v>
      </c>
      <c r="E6" s="746">
        <v>23</v>
      </c>
      <c r="F6" s="746">
        <v>9</v>
      </c>
      <c r="G6" s="746">
        <v>2</v>
      </c>
      <c r="H6" s="746"/>
      <c r="I6" s="728">
        <v>214</v>
      </c>
      <c r="J6" s="728">
        <v>219</v>
      </c>
      <c r="K6" s="728">
        <v>81</v>
      </c>
      <c r="L6" s="728">
        <v>201</v>
      </c>
      <c r="M6" s="728">
        <v>221</v>
      </c>
      <c r="N6" s="728"/>
    </row>
    <row r="7" spans="1:14" ht="18" customHeight="1">
      <c r="A7" s="690" t="s">
        <v>281</v>
      </c>
      <c r="B7" s="751">
        <v>4</v>
      </c>
      <c r="C7" s="728">
        <f t="shared" ref="C7:C19" si="0">SUM(D7+E7+F7+G7+H7)</f>
        <v>174</v>
      </c>
      <c r="D7" s="728">
        <v>151</v>
      </c>
      <c r="E7" s="728">
        <v>10</v>
      </c>
      <c r="F7" s="728">
        <v>4</v>
      </c>
      <c r="G7" s="728">
        <v>9</v>
      </c>
      <c r="H7" s="728"/>
      <c r="I7" s="728">
        <v>61</v>
      </c>
      <c r="J7" s="728">
        <v>148</v>
      </c>
      <c r="K7" s="728">
        <v>94</v>
      </c>
      <c r="L7" s="728">
        <v>99</v>
      </c>
      <c r="M7" s="728">
        <v>140</v>
      </c>
      <c r="N7" s="728"/>
    </row>
    <row r="8" spans="1:14" ht="18" customHeight="1">
      <c r="A8" s="690" t="s">
        <v>282</v>
      </c>
      <c r="B8" s="751">
        <v>4</v>
      </c>
      <c r="C8" s="728">
        <f t="shared" si="0"/>
        <v>192</v>
      </c>
      <c r="D8" s="728">
        <v>179</v>
      </c>
      <c r="E8" s="728">
        <v>2</v>
      </c>
      <c r="F8" s="728">
        <v>0</v>
      </c>
      <c r="G8" s="728">
        <v>11</v>
      </c>
      <c r="H8" s="728"/>
      <c r="I8" s="728">
        <v>158</v>
      </c>
      <c r="J8" s="728">
        <v>187</v>
      </c>
      <c r="K8" s="728">
        <v>113</v>
      </c>
      <c r="L8" s="728">
        <v>125</v>
      </c>
      <c r="M8" s="728">
        <v>190</v>
      </c>
      <c r="N8" s="728"/>
    </row>
    <row r="9" spans="1:14" ht="18" customHeight="1">
      <c r="A9" s="690" t="s">
        <v>283</v>
      </c>
      <c r="B9" s="751">
        <v>3</v>
      </c>
      <c r="C9" s="728">
        <f t="shared" si="0"/>
        <v>134</v>
      </c>
      <c r="D9" s="728">
        <v>120</v>
      </c>
      <c r="E9" s="728">
        <v>3</v>
      </c>
      <c r="F9" s="728">
        <v>0</v>
      </c>
      <c r="G9" s="728">
        <v>11</v>
      </c>
      <c r="H9" s="728"/>
      <c r="I9" s="728">
        <v>41</v>
      </c>
      <c r="J9" s="728">
        <v>121</v>
      </c>
      <c r="K9" s="728">
        <v>85</v>
      </c>
      <c r="L9" s="728">
        <v>81</v>
      </c>
      <c r="M9" s="728">
        <v>127</v>
      </c>
      <c r="N9" s="728"/>
    </row>
    <row r="10" spans="1:14" ht="18" customHeight="1">
      <c r="A10" s="690" t="s">
        <v>284</v>
      </c>
      <c r="B10" s="751">
        <v>5</v>
      </c>
      <c r="C10" s="728">
        <f t="shared" si="0"/>
        <v>369</v>
      </c>
      <c r="D10" s="728">
        <v>328</v>
      </c>
      <c r="E10" s="728">
        <v>36</v>
      </c>
      <c r="F10" s="728">
        <v>5</v>
      </c>
      <c r="G10" s="728">
        <v>0</v>
      </c>
      <c r="H10" s="728"/>
      <c r="I10" s="728">
        <v>318</v>
      </c>
      <c r="J10" s="728">
        <v>320</v>
      </c>
      <c r="K10" s="728">
        <v>128</v>
      </c>
      <c r="L10" s="728">
        <v>311</v>
      </c>
      <c r="M10" s="728">
        <v>328</v>
      </c>
      <c r="N10" s="728"/>
    </row>
    <row r="11" spans="1:14" ht="18" customHeight="1">
      <c r="A11" s="690" t="s">
        <v>285</v>
      </c>
      <c r="B11" s="751">
        <v>5</v>
      </c>
      <c r="C11" s="728">
        <f t="shared" si="0"/>
        <v>101</v>
      </c>
      <c r="D11" s="728">
        <v>82</v>
      </c>
      <c r="E11" s="728">
        <v>15</v>
      </c>
      <c r="F11" s="728">
        <v>3</v>
      </c>
      <c r="G11" s="728">
        <v>1</v>
      </c>
      <c r="H11" s="728"/>
      <c r="I11" s="728">
        <v>52</v>
      </c>
      <c r="J11" s="728">
        <v>85</v>
      </c>
      <c r="K11" s="728">
        <v>55</v>
      </c>
      <c r="L11" s="728">
        <v>70</v>
      </c>
      <c r="M11" s="728">
        <v>73</v>
      </c>
      <c r="N11" s="728"/>
    </row>
    <row r="12" spans="1:14" ht="18" customHeight="1">
      <c r="A12" s="690" t="s">
        <v>286</v>
      </c>
      <c r="B12" s="751">
        <v>3</v>
      </c>
      <c r="C12" s="728">
        <f t="shared" si="0"/>
        <v>163</v>
      </c>
      <c r="D12" s="728">
        <v>75</v>
      </c>
      <c r="E12" s="728">
        <v>69</v>
      </c>
      <c r="F12" s="728">
        <v>3</v>
      </c>
      <c r="G12" s="728">
        <v>16</v>
      </c>
      <c r="H12" s="728"/>
      <c r="I12" s="728">
        <v>87</v>
      </c>
      <c r="J12" s="728">
        <v>122</v>
      </c>
      <c r="K12" s="728">
        <v>26</v>
      </c>
      <c r="L12" s="728">
        <v>96</v>
      </c>
      <c r="M12" s="728">
        <v>123</v>
      </c>
      <c r="N12" s="728">
        <v>3</v>
      </c>
    </row>
    <row r="13" spans="1:14" ht="18" customHeight="1">
      <c r="A13" s="690" t="s">
        <v>287</v>
      </c>
      <c r="B13" s="751">
        <v>3</v>
      </c>
      <c r="C13" s="728">
        <f t="shared" si="0"/>
        <v>174</v>
      </c>
      <c r="D13" s="728">
        <v>158</v>
      </c>
      <c r="E13" s="728">
        <v>16</v>
      </c>
      <c r="F13" s="728">
        <v>0</v>
      </c>
      <c r="G13" s="728">
        <v>0</v>
      </c>
      <c r="H13" s="728"/>
      <c r="I13" s="728">
        <v>142</v>
      </c>
      <c r="J13" s="728">
        <v>151</v>
      </c>
      <c r="K13" s="728">
        <v>51</v>
      </c>
      <c r="L13" s="728">
        <v>124</v>
      </c>
      <c r="M13" s="728">
        <v>180</v>
      </c>
      <c r="N13" s="728"/>
    </row>
    <row r="14" spans="1:14" ht="18" customHeight="1">
      <c r="A14" s="690" t="s">
        <v>288</v>
      </c>
      <c r="B14" s="751">
        <v>5</v>
      </c>
      <c r="C14" s="728">
        <f t="shared" si="0"/>
        <v>227</v>
      </c>
      <c r="D14" s="728">
        <v>179</v>
      </c>
      <c r="E14" s="728">
        <v>37</v>
      </c>
      <c r="F14" s="728">
        <v>5</v>
      </c>
      <c r="G14" s="728">
        <v>0</v>
      </c>
      <c r="H14" s="728">
        <v>6</v>
      </c>
      <c r="I14" s="728">
        <v>85</v>
      </c>
      <c r="J14" s="728">
        <v>191</v>
      </c>
      <c r="K14" s="728">
        <v>154</v>
      </c>
      <c r="L14" s="728">
        <v>151</v>
      </c>
      <c r="M14" s="728">
        <v>191</v>
      </c>
      <c r="N14" s="728">
        <v>1</v>
      </c>
    </row>
    <row r="15" spans="1:14" ht="18" customHeight="1">
      <c r="A15" s="690" t="s">
        <v>289</v>
      </c>
      <c r="B15" s="751">
        <v>6</v>
      </c>
      <c r="C15" s="728">
        <f t="shared" si="0"/>
        <v>255</v>
      </c>
      <c r="D15" s="728">
        <v>214</v>
      </c>
      <c r="E15" s="728">
        <v>19</v>
      </c>
      <c r="F15" s="728">
        <v>20</v>
      </c>
      <c r="G15" s="728">
        <v>2</v>
      </c>
      <c r="H15" s="728"/>
      <c r="I15" s="728">
        <v>171</v>
      </c>
      <c r="J15" s="728">
        <v>207</v>
      </c>
      <c r="K15" s="728">
        <v>101</v>
      </c>
      <c r="L15" s="728">
        <v>168</v>
      </c>
      <c r="M15" s="728">
        <v>211</v>
      </c>
      <c r="N15" s="728"/>
    </row>
    <row r="16" spans="1:14" ht="18" customHeight="1">
      <c r="A16" s="690" t="s">
        <v>290</v>
      </c>
      <c r="B16" s="751">
        <v>6</v>
      </c>
      <c r="C16" s="728">
        <f t="shared" si="0"/>
        <v>258</v>
      </c>
      <c r="D16" s="728">
        <v>221</v>
      </c>
      <c r="E16" s="728">
        <v>31</v>
      </c>
      <c r="F16" s="728"/>
      <c r="G16" s="728">
        <v>6</v>
      </c>
      <c r="H16" s="728"/>
      <c r="I16" s="728">
        <v>185</v>
      </c>
      <c r="J16" s="728">
        <v>289</v>
      </c>
      <c r="K16" s="728">
        <v>142</v>
      </c>
      <c r="L16" s="728">
        <v>270</v>
      </c>
      <c r="M16" s="728">
        <v>295</v>
      </c>
      <c r="N16" s="728">
        <v>10</v>
      </c>
    </row>
    <row r="17" spans="1:14" ht="18" customHeight="1">
      <c r="A17" s="690" t="s">
        <v>291</v>
      </c>
      <c r="B17" s="751">
        <v>3</v>
      </c>
      <c r="C17" s="728">
        <f t="shared" si="0"/>
        <v>206</v>
      </c>
      <c r="D17" s="728">
        <v>190</v>
      </c>
      <c r="E17" s="728">
        <v>14</v>
      </c>
      <c r="F17" s="728">
        <v>2</v>
      </c>
      <c r="G17" s="728">
        <v>0</v>
      </c>
      <c r="H17" s="728"/>
      <c r="I17" s="728">
        <v>172</v>
      </c>
      <c r="J17" s="728">
        <v>176</v>
      </c>
      <c r="K17" s="728">
        <v>123</v>
      </c>
      <c r="L17" s="728">
        <v>142</v>
      </c>
      <c r="M17" s="728">
        <v>195</v>
      </c>
      <c r="N17" s="728">
        <v>64</v>
      </c>
    </row>
    <row r="18" spans="1:14" ht="18" customHeight="1">
      <c r="A18" s="690" t="s">
        <v>292</v>
      </c>
      <c r="B18" s="751">
        <v>3</v>
      </c>
      <c r="C18" s="728">
        <f t="shared" si="0"/>
        <v>95</v>
      </c>
      <c r="D18" s="728">
        <v>80</v>
      </c>
      <c r="E18" s="728">
        <v>10</v>
      </c>
      <c r="F18" s="728">
        <v>0</v>
      </c>
      <c r="G18" s="728">
        <v>5</v>
      </c>
      <c r="H18" s="728"/>
      <c r="I18" s="728">
        <v>53</v>
      </c>
      <c r="J18" s="728">
        <v>79</v>
      </c>
      <c r="K18" s="728">
        <v>16</v>
      </c>
      <c r="L18" s="728">
        <v>51</v>
      </c>
      <c r="M18" s="728">
        <v>90</v>
      </c>
      <c r="N18" s="728"/>
    </row>
    <row r="19" spans="1:14" ht="18" customHeight="1">
      <c r="A19" s="691" t="s">
        <v>293</v>
      </c>
      <c r="B19" s="751">
        <v>10</v>
      </c>
      <c r="C19" s="728">
        <f t="shared" si="0"/>
        <v>467</v>
      </c>
      <c r="D19" s="728">
        <v>221</v>
      </c>
      <c r="E19" s="728">
        <v>29</v>
      </c>
      <c r="F19" s="728">
        <v>3</v>
      </c>
      <c r="G19" s="728">
        <v>211</v>
      </c>
      <c r="H19" s="728">
        <v>3</v>
      </c>
      <c r="I19" s="728">
        <v>128</v>
      </c>
      <c r="J19" s="728">
        <v>428</v>
      </c>
      <c r="K19" s="728">
        <v>184</v>
      </c>
      <c r="L19" s="728">
        <v>246</v>
      </c>
      <c r="M19" s="1180">
        <v>402</v>
      </c>
      <c r="N19" s="728"/>
    </row>
    <row r="20" spans="1:14" ht="18" customHeight="1">
      <c r="A20" s="90" t="s">
        <v>1598</v>
      </c>
      <c r="B20" s="751">
        <f>SUM(B6:B19)</f>
        <v>64</v>
      </c>
      <c r="C20" s="1181">
        <f t="shared" ref="C20:N20" si="1">SUM(C6:C19)</f>
        <v>3080</v>
      </c>
      <c r="D20" s="1181">
        <f t="shared" si="1"/>
        <v>2429</v>
      </c>
      <c r="E20" s="1181">
        <f t="shared" si="1"/>
        <v>314</v>
      </c>
      <c r="F20" s="1181">
        <f t="shared" si="1"/>
        <v>54</v>
      </c>
      <c r="G20" s="1181">
        <f t="shared" si="1"/>
        <v>274</v>
      </c>
      <c r="H20" s="1181">
        <f t="shared" si="1"/>
        <v>9</v>
      </c>
      <c r="I20" s="1181">
        <f t="shared" si="1"/>
        <v>1867</v>
      </c>
      <c r="J20" s="1181">
        <f t="shared" si="1"/>
        <v>2723</v>
      </c>
      <c r="K20" s="1181">
        <f t="shared" si="1"/>
        <v>1353</v>
      </c>
      <c r="L20" s="1181">
        <f t="shared" si="1"/>
        <v>2135</v>
      </c>
      <c r="M20" s="1181">
        <f t="shared" si="1"/>
        <v>2766</v>
      </c>
      <c r="N20" s="1181">
        <f t="shared" si="1"/>
        <v>78</v>
      </c>
    </row>
    <row r="21" spans="1:14" ht="18" customHeight="1">
      <c r="A21" s="90" t="s">
        <v>1208</v>
      </c>
      <c r="B21" s="537">
        <v>63</v>
      </c>
      <c r="C21" s="728">
        <v>4105</v>
      </c>
      <c r="D21" s="728">
        <v>2417</v>
      </c>
      <c r="E21" s="728">
        <v>597</v>
      </c>
      <c r="F21" s="728">
        <v>159</v>
      </c>
      <c r="G21" s="1182"/>
      <c r="H21" s="728">
        <v>932</v>
      </c>
      <c r="I21" s="728">
        <v>3827</v>
      </c>
      <c r="J21" s="728">
        <v>3061</v>
      </c>
      <c r="K21" s="1182"/>
      <c r="L21" s="1182"/>
      <c r="M21" s="1182"/>
      <c r="N21" s="728">
        <v>3308</v>
      </c>
    </row>
    <row r="30" spans="1:14">
      <c r="A30" s="1514">
        <v>39</v>
      </c>
      <c r="B30" s="1514"/>
      <c r="C30" s="1514"/>
      <c r="D30" s="1514"/>
      <c r="E30" s="1514"/>
      <c r="F30" s="1514"/>
      <c r="G30" s="1514"/>
      <c r="H30" s="1514"/>
      <c r="I30" s="1514"/>
      <c r="J30" s="1514"/>
      <c r="K30" s="1514"/>
      <c r="L30" s="1514"/>
      <c r="M30" s="1514"/>
      <c r="N30" s="1514"/>
    </row>
  </sheetData>
  <mergeCells count="16">
    <mergeCell ref="A1:N1"/>
    <mergeCell ref="A30:N30"/>
    <mergeCell ref="F4:F5"/>
    <mergeCell ref="G4:G5"/>
    <mergeCell ref="A3:A5"/>
    <mergeCell ref="B3:B5"/>
    <mergeCell ref="C3:C5"/>
    <mergeCell ref="I3:I5"/>
    <mergeCell ref="J3:J5"/>
    <mergeCell ref="K3:K5"/>
    <mergeCell ref="L3:L5"/>
    <mergeCell ref="M3:M5"/>
    <mergeCell ref="N3:N5"/>
    <mergeCell ref="H4:H5"/>
    <mergeCell ref="D4:D5"/>
    <mergeCell ref="E4:E5"/>
  </mergeCells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P53"/>
  <sheetViews>
    <sheetView workbookViewId="0">
      <selection activeCell="B8" sqref="B8:H25"/>
    </sheetView>
  </sheetViews>
  <sheetFormatPr defaultRowHeight="12.75"/>
  <cols>
    <col min="1" max="1" width="2.85546875" style="99" customWidth="1"/>
    <col min="2" max="2" width="4.85546875" style="99" customWidth="1"/>
    <col min="3" max="3" width="17.42578125" style="99" customWidth="1"/>
    <col min="4" max="4" width="12.5703125" style="99" customWidth="1"/>
    <col min="5" max="5" width="13" style="99" customWidth="1"/>
    <col min="6" max="6" width="12.5703125" style="99" customWidth="1"/>
    <col min="7" max="7" width="13.140625" style="99" customWidth="1"/>
    <col min="8" max="8" width="13.28515625" style="99" customWidth="1"/>
    <col min="9" max="16384" width="9.140625" style="99"/>
  </cols>
  <sheetData>
    <row r="2" spans="2:8">
      <c r="B2" s="1514" t="s">
        <v>1215</v>
      </c>
      <c r="C2" s="1514"/>
      <c r="D2" s="1514"/>
      <c r="E2" s="1514"/>
      <c r="F2" s="1514"/>
      <c r="G2" s="1514"/>
      <c r="H2" s="1514"/>
    </row>
    <row r="5" spans="2:8">
      <c r="B5" s="1564" t="s">
        <v>278</v>
      </c>
      <c r="C5" s="1580" t="s">
        <v>832</v>
      </c>
      <c r="D5" s="1590" t="s">
        <v>833</v>
      </c>
      <c r="E5" s="1591"/>
      <c r="F5" s="1592" t="s">
        <v>275</v>
      </c>
      <c r="G5" s="1593"/>
      <c r="H5" s="1594"/>
    </row>
    <row r="6" spans="2:8" ht="12.75" customHeight="1">
      <c r="B6" s="1565"/>
      <c r="C6" s="1581"/>
      <c r="D6" s="1561" t="s">
        <v>834</v>
      </c>
      <c r="E6" s="1564" t="s">
        <v>175</v>
      </c>
      <c r="F6" s="1564" t="s">
        <v>835</v>
      </c>
      <c r="G6" s="1564" t="s">
        <v>836</v>
      </c>
      <c r="H6" s="1598" t="s">
        <v>1487</v>
      </c>
    </row>
    <row r="7" spans="2:8" ht="26.25" customHeight="1">
      <c r="B7" s="1566"/>
      <c r="C7" s="1582"/>
      <c r="D7" s="1566"/>
      <c r="E7" s="1566"/>
      <c r="F7" s="1566"/>
      <c r="G7" s="1566"/>
      <c r="H7" s="1598"/>
    </row>
    <row r="8" spans="2:8">
      <c r="B8" s="751">
        <v>1</v>
      </c>
      <c r="C8" s="728" t="s">
        <v>280</v>
      </c>
      <c r="D8" s="753">
        <v>2600</v>
      </c>
      <c r="E8" s="777">
        <f>SUM(F8:H8)</f>
        <v>2600</v>
      </c>
      <c r="F8" s="777">
        <v>797</v>
      </c>
      <c r="G8" s="777">
        <v>468</v>
      </c>
      <c r="H8" s="777">
        <v>1335</v>
      </c>
    </row>
    <row r="9" spans="2:8">
      <c r="B9" s="751">
        <v>2</v>
      </c>
      <c r="C9" s="728" t="s">
        <v>281</v>
      </c>
      <c r="D9" s="777">
        <v>2200</v>
      </c>
      <c r="E9" s="777">
        <f t="shared" ref="E9:E21" si="0">SUM(F9:H9)</f>
        <v>2200</v>
      </c>
      <c r="F9" s="777">
        <v>1706.4</v>
      </c>
      <c r="G9" s="777">
        <v>116</v>
      </c>
      <c r="H9" s="752">
        <v>377.6</v>
      </c>
    </row>
    <row r="10" spans="2:8">
      <c r="B10" s="751">
        <v>3</v>
      </c>
      <c r="C10" s="728" t="s">
        <v>282</v>
      </c>
      <c r="D10" s="777">
        <v>1000</v>
      </c>
      <c r="E10" s="777">
        <f t="shared" si="0"/>
        <v>999.7</v>
      </c>
      <c r="F10" s="777">
        <v>979.7</v>
      </c>
      <c r="G10" s="537"/>
      <c r="H10" s="751">
        <v>20</v>
      </c>
    </row>
    <row r="11" spans="2:8">
      <c r="B11" s="751">
        <v>4</v>
      </c>
      <c r="C11" s="728" t="s">
        <v>283</v>
      </c>
      <c r="D11" s="777">
        <v>500</v>
      </c>
      <c r="E11" s="777">
        <f t="shared" si="0"/>
        <v>500</v>
      </c>
      <c r="F11" s="777">
        <v>500</v>
      </c>
      <c r="G11" s="777"/>
      <c r="H11" s="751"/>
    </row>
    <row r="12" spans="2:8">
      <c r="B12" s="751">
        <v>5</v>
      </c>
      <c r="C12" s="728" t="s">
        <v>284</v>
      </c>
      <c r="D12" s="777">
        <v>2500</v>
      </c>
      <c r="E12" s="777">
        <f t="shared" si="0"/>
        <v>2235.7000000000003</v>
      </c>
      <c r="F12" s="777">
        <v>1209.7</v>
      </c>
      <c r="G12" s="777">
        <v>290.60000000000002</v>
      </c>
      <c r="H12" s="751">
        <v>735.4</v>
      </c>
    </row>
    <row r="13" spans="2:8">
      <c r="B13" s="751">
        <v>6</v>
      </c>
      <c r="C13" s="728" t="s">
        <v>285</v>
      </c>
      <c r="D13" s="777">
        <v>2000</v>
      </c>
      <c r="E13" s="777">
        <f t="shared" si="0"/>
        <v>2167</v>
      </c>
      <c r="F13" s="777">
        <v>1356</v>
      </c>
      <c r="G13" s="777"/>
      <c r="H13" s="752">
        <v>811</v>
      </c>
    </row>
    <row r="14" spans="2:8">
      <c r="B14" s="751">
        <v>7</v>
      </c>
      <c r="C14" s="728" t="s">
        <v>286</v>
      </c>
      <c r="D14" s="777">
        <v>1800</v>
      </c>
      <c r="E14" s="777">
        <f t="shared" si="0"/>
        <v>1800</v>
      </c>
      <c r="F14" s="777">
        <v>1424</v>
      </c>
      <c r="G14" s="777">
        <v>261</v>
      </c>
      <c r="H14" s="752">
        <v>115</v>
      </c>
    </row>
    <row r="15" spans="2:8">
      <c r="B15" s="751">
        <v>8</v>
      </c>
      <c r="C15" s="728" t="s">
        <v>287</v>
      </c>
      <c r="D15" s="777">
        <v>500</v>
      </c>
      <c r="E15" s="777">
        <f t="shared" si="0"/>
        <v>700</v>
      </c>
      <c r="F15" s="777">
        <v>500</v>
      </c>
      <c r="G15" s="537"/>
      <c r="H15" s="752">
        <v>200</v>
      </c>
    </row>
    <row r="16" spans="2:8">
      <c r="B16" s="751">
        <v>9</v>
      </c>
      <c r="C16" s="728" t="s">
        <v>288</v>
      </c>
      <c r="D16" s="777">
        <v>700</v>
      </c>
      <c r="E16" s="777">
        <f t="shared" si="0"/>
        <v>700</v>
      </c>
      <c r="F16" s="777">
        <v>376</v>
      </c>
      <c r="G16" s="777">
        <v>174</v>
      </c>
      <c r="H16" s="752">
        <v>150</v>
      </c>
    </row>
    <row r="17" spans="2:16">
      <c r="B17" s="751">
        <v>10</v>
      </c>
      <c r="C17" s="728" t="s">
        <v>289</v>
      </c>
      <c r="D17" s="777">
        <v>1500</v>
      </c>
      <c r="E17" s="777">
        <f t="shared" si="0"/>
        <v>1604.9</v>
      </c>
      <c r="F17" s="777">
        <v>820.9</v>
      </c>
      <c r="G17" s="777">
        <v>232</v>
      </c>
      <c r="H17" s="752">
        <v>552</v>
      </c>
    </row>
    <row r="18" spans="2:16">
      <c r="B18" s="751">
        <v>11</v>
      </c>
      <c r="C18" s="728" t="s">
        <v>290</v>
      </c>
      <c r="D18" s="777">
        <v>1500</v>
      </c>
      <c r="E18" s="777">
        <f t="shared" si="0"/>
        <v>1720</v>
      </c>
      <c r="F18" s="777">
        <v>1020</v>
      </c>
      <c r="G18" s="777">
        <v>220</v>
      </c>
      <c r="H18" s="752">
        <v>480</v>
      </c>
    </row>
    <row r="19" spans="2:16">
      <c r="B19" s="751">
        <v>12</v>
      </c>
      <c r="C19" s="728" t="s">
        <v>291</v>
      </c>
      <c r="D19" s="777">
        <v>1100</v>
      </c>
      <c r="E19" s="777">
        <f t="shared" si="0"/>
        <v>1244.9000000000001</v>
      </c>
      <c r="F19" s="777">
        <v>1244.9000000000001</v>
      </c>
      <c r="G19" s="777"/>
      <c r="H19" s="752"/>
    </row>
    <row r="20" spans="2:16">
      <c r="B20" s="751">
        <v>13</v>
      </c>
      <c r="C20" s="1180" t="s">
        <v>292</v>
      </c>
      <c r="D20" s="777">
        <v>800</v>
      </c>
      <c r="E20" s="777">
        <f t="shared" si="0"/>
        <v>692.4</v>
      </c>
      <c r="F20" s="777">
        <v>462.8</v>
      </c>
      <c r="G20" s="777"/>
      <c r="H20" s="751">
        <v>229.6</v>
      </c>
    </row>
    <row r="21" spans="2:16">
      <c r="B21" s="1161">
        <v>14</v>
      </c>
      <c r="C21" s="728" t="s">
        <v>293</v>
      </c>
      <c r="D21" s="777">
        <v>2000</v>
      </c>
      <c r="E21" s="777">
        <f t="shared" si="0"/>
        <v>2000</v>
      </c>
      <c r="F21" s="777">
        <v>1620</v>
      </c>
      <c r="G21" s="777"/>
      <c r="H21" s="751">
        <v>380</v>
      </c>
    </row>
    <row r="22" spans="2:16">
      <c r="B22" s="1183"/>
      <c r="C22" s="1184" t="s">
        <v>318</v>
      </c>
      <c r="D22" s="1602">
        <v>5000</v>
      </c>
      <c r="E22" s="1602">
        <v>5000</v>
      </c>
      <c r="F22" s="1185">
        <v>1328.2</v>
      </c>
      <c r="G22" s="1185">
        <v>806</v>
      </c>
      <c r="H22" s="752"/>
    </row>
    <row r="23" spans="2:16">
      <c r="B23" s="1183"/>
      <c r="C23" s="1184" t="s">
        <v>837</v>
      </c>
      <c r="D23" s="1603"/>
      <c r="E23" s="1603"/>
      <c r="F23" s="1185">
        <v>2339.3000000000002</v>
      </c>
      <c r="G23" s="1185">
        <v>526.5</v>
      </c>
      <c r="H23" s="1165"/>
    </row>
    <row r="24" spans="2:16">
      <c r="B24" s="1604" t="s">
        <v>296</v>
      </c>
      <c r="C24" s="1605"/>
      <c r="D24" s="1185">
        <f>SUM(D8:D22)</f>
        <v>25700</v>
      </c>
      <c r="E24" s="1185">
        <f>SUM(E8:E22)</f>
        <v>26164.600000000002</v>
      </c>
      <c r="F24" s="1185">
        <f>SUM(F8:F23)</f>
        <v>17684.899999999998</v>
      </c>
      <c r="G24" s="1185">
        <f>SUM(G8:G23)</f>
        <v>3094.1</v>
      </c>
      <c r="H24" s="1185">
        <f>SUM(H8:H22)</f>
        <v>5385.6</v>
      </c>
    </row>
    <row r="25" spans="2:16">
      <c r="B25" s="1606">
        <v>2011</v>
      </c>
      <c r="C25" s="1607"/>
      <c r="D25" s="750">
        <v>15460</v>
      </c>
      <c r="E25" s="750">
        <v>21788.9</v>
      </c>
      <c r="F25" s="750">
        <v>15500.2</v>
      </c>
      <c r="G25" s="752">
        <v>2295</v>
      </c>
      <c r="H25" s="751">
        <v>3993.7</v>
      </c>
    </row>
    <row r="27" spans="2:16">
      <c r="J27" s="84"/>
      <c r="K27" s="84"/>
      <c r="L27" s="84"/>
      <c r="M27" s="84"/>
      <c r="N27" s="84"/>
      <c r="O27" s="84"/>
      <c r="P27" s="84"/>
    </row>
    <row r="28" spans="2:16">
      <c r="J28" s="84"/>
      <c r="K28" s="84"/>
      <c r="L28" s="84"/>
      <c r="M28" s="84"/>
      <c r="N28" s="84"/>
      <c r="O28" s="84"/>
      <c r="P28" s="84"/>
    </row>
    <row r="29" spans="2:16">
      <c r="C29" s="1514" t="s">
        <v>2297</v>
      </c>
      <c r="D29" s="1514"/>
      <c r="E29" s="1514"/>
      <c r="F29" s="1514"/>
      <c r="G29" s="1514"/>
      <c r="H29" s="1514"/>
      <c r="I29" s="1514"/>
      <c r="J29" s="84"/>
      <c r="K29" s="84"/>
      <c r="L29" s="84"/>
      <c r="M29" s="84"/>
      <c r="N29" s="84"/>
      <c r="O29" s="84"/>
      <c r="P29" s="84"/>
    </row>
    <row r="30" spans="2:16">
      <c r="J30" s="84"/>
      <c r="K30" s="84"/>
      <c r="L30" s="84"/>
      <c r="M30" s="84"/>
      <c r="N30" s="84"/>
      <c r="O30" s="84"/>
      <c r="P30" s="84"/>
    </row>
    <row r="31" spans="2:16">
      <c r="B31" s="1595" t="s">
        <v>278</v>
      </c>
      <c r="C31" s="235"/>
      <c r="D31" s="235" t="s">
        <v>838</v>
      </c>
      <c r="E31" s="235" t="s">
        <v>839</v>
      </c>
      <c r="F31" s="235" t="s">
        <v>840</v>
      </c>
      <c r="G31" s="1599" t="s">
        <v>841</v>
      </c>
      <c r="H31" s="1600"/>
      <c r="I31" s="1601"/>
    </row>
    <row r="32" spans="2:16">
      <c r="B32" s="1596"/>
      <c r="C32" s="248" t="s">
        <v>295</v>
      </c>
      <c r="D32" s="248" t="s">
        <v>842</v>
      </c>
      <c r="E32" s="248" t="s">
        <v>274</v>
      </c>
      <c r="F32" s="248" t="s">
        <v>843</v>
      </c>
      <c r="G32" s="1595" t="s">
        <v>844</v>
      </c>
      <c r="H32" s="1595" t="s">
        <v>845</v>
      </c>
      <c r="I32" s="1595" t="s">
        <v>846</v>
      </c>
    </row>
    <row r="33" spans="2:9">
      <c r="B33" s="1597"/>
      <c r="C33" s="238"/>
      <c r="D33" s="238"/>
      <c r="E33" s="238"/>
      <c r="F33" s="238" t="s">
        <v>174</v>
      </c>
      <c r="G33" s="1597"/>
      <c r="H33" s="1597"/>
      <c r="I33" s="1597"/>
    </row>
    <row r="34" spans="2:9">
      <c r="B34" s="293">
        <v>1</v>
      </c>
      <c r="C34" s="100" t="s">
        <v>280</v>
      </c>
      <c r="D34" s="293">
        <v>10</v>
      </c>
      <c r="E34" s="293">
        <v>23</v>
      </c>
      <c r="F34" s="293">
        <v>4</v>
      </c>
      <c r="G34" s="293">
        <v>7</v>
      </c>
      <c r="H34" s="293"/>
      <c r="I34" s="293"/>
    </row>
    <row r="35" spans="2:9">
      <c r="B35" s="293">
        <v>2</v>
      </c>
      <c r="C35" s="100" t="s">
        <v>281</v>
      </c>
      <c r="D35" s="293">
        <v>4</v>
      </c>
      <c r="E35" s="293">
        <v>20</v>
      </c>
      <c r="F35" s="293">
        <v>5</v>
      </c>
      <c r="G35" s="293">
        <v>5</v>
      </c>
      <c r="H35" s="293"/>
      <c r="I35" s="293"/>
    </row>
    <row r="36" spans="2:9">
      <c r="B36" s="293">
        <v>3</v>
      </c>
      <c r="C36" s="100" t="s">
        <v>282</v>
      </c>
      <c r="D36" s="293">
        <v>5</v>
      </c>
      <c r="E36" s="293">
        <v>20</v>
      </c>
      <c r="F36" s="293">
        <v>3</v>
      </c>
      <c r="G36" s="293">
        <v>5</v>
      </c>
      <c r="H36" s="293"/>
      <c r="I36" s="293"/>
    </row>
    <row r="37" spans="2:9">
      <c r="B37" s="293">
        <v>4</v>
      </c>
      <c r="C37" s="100" t="s">
        <v>283</v>
      </c>
      <c r="D37" s="293">
        <v>4</v>
      </c>
      <c r="E37" s="293">
        <v>27</v>
      </c>
      <c r="F37" s="293">
        <v>3</v>
      </c>
      <c r="G37" s="293">
        <v>3</v>
      </c>
      <c r="H37" s="293"/>
      <c r="I37" s="293"/>
    </row>
    <row r="38" spans="2:9">
      <c r="B38" s="293">
        <v>5</v>
      </c>
      <c r="C38" s="100" t="s">
        <v>284</v>
      </c>
      <c r="D38" s="293">
        <v>12</v>
      </c>
      <c r="E38" s="293">
        <v>19</v>
      </c>
      <c r="F38" s="293">
        <v>4</v>
      </c>
      <c r="G38" s="293">
        <v>10</v>
      </c>
      <c r="H38" s="293"/>
      <c r="I38" s="293">
        <v>2</v>
      </c>
    </row>
    <row r="39" spans="2:9">
      <c r="B39" s="293">
        <v>6</v>
      </c>
      <c r="C39" s="100" t="s">
        <v>285</v>
      </c>
      <c r="D39" s="293">
        <v>6</v>
      </c>
      <c r="E39" s="293">
        <v>27</v>
      </c>
      <c r="F39" s="293">
        <v>5</v>
      </c>
      <c r="G39" s="293">
        <v>6</v>
      </c>
      <c r="H39" s="293"/>
      <c r="I39" s="293"/>
    </row>
    <row r="40" spans="2:9">
      <c r="B40" s="293">
        <v>7</v>
      </c>
      <c r="C40" s="100" t="s">
        <v>286</v>
      </c>
      <c r="D40" s="293">
        <v>4</v>
      </c>
      <c r="E40" s="293">
        <v>17</v>
      </c>
      <c r="F40" s="293">
        <v>3</v>
      </c>
      <c r="G40" s="293">
        <v>4</v>
      </c>
      <c r="H40" s="293"/>
      <c r="I40" s="293"/>
    </row>
    <row r="41" spans="2:9">
      <c r="B41" s="293">
        <v>8</v>
      </c>
      <c r="C41" s="100" t="s">
        <v>287</v>
      </c>
      <c r="D41" s="293">
        <v>4</v>
      </c>
      <c r="E41" s="293">
        <v>19</v>
      </c>
      <c r="F41" s="293">
        <v>3</v>
      </c>
      <c r="G41" s="293">
        <v>5</v>
      </c>
      <c r="H41" s="293"/>
      <c r="I41" s="293"/>
    </row>
    <row r="42" spans="2:9">
      <c r="B42" s="293">
        <v>9</v>
      </c>
      <c r="C42" s="100" t="s">
        <v>288</v>
      </c>
      <c r="D42" s="293">
        <v>10</v>
      </c>
      <c r="E42" s="293">
        <v>27</v>
      </c>
      <c r="F42" s="293">
        <v>4</v>
      </c>
      <c r="G42" s="293">
        <v>8</v>
      </c>
      <c r="H42" s="293"/>
      <c r="I42" s="293">
        <v>2</v>
      </c>
    </row>
    <row r="43" spans="2:9">
      <c r="B43" s="293">
        <v>10</v>
      </c>
      <c r="C43" s="100" t="s">
        <v>289</v>
      </c>
      <c r="D43" s="293">
        <v>6</v>
      </c>
      <c r="E43" s="293">
        <v>35</v>
      </c>
      <c r="F43" s="293">
        <v>3</v>
      </c>
      <c r="G43" s="293">
        <v>12</v>
      </c>
      <c r="H43" s="293"/>
      <c r="I43" s="293"/>
    </row>
    <row r="44" spans="2:9">
      <c r="B44" s="293">
        <v>11</v>
      </c>
      <c r="C44" s="100" t="s">
        <v>290</v>
      </c>
      <c r="D44" s="293">
        <v>6</v>
      </c>
      <c r="E44" s="293">
        <v>34</v>
      </c>
      <c r="F44" s="293">
        <v>6</v>
      </c>
      <c r="G44" s="293">
        <v>9</v>
      </c>
      <c r="H44" s="293"/>
      <c r="I44" s="293"/>
    </row>
    <row r="45" spans="2:9">
      <c r="B45" s="293">
        <v>12</v>
      </c>
      <c r="C45" s="100" t="s">
        <v>291</v>
      </c>
      <c r="D45" s="293">
        <v>6</v>
      </c>
      <c r="E45" s="293">
        <v>25</v>
      </c>
      <c r="F45" s="293">
        <v>3</v>
      </c>
      <c r="G45" s="293">
        <v>5</v>
      </c>
      <c r="H45" s="293"/>
      <c r="I45" s="293"/>
    </row>
    <row r="46" spans="2:9">
      <c r="B46" s="293">
        <v>13</v>
      </c>
      <c r="C46" s="384" t="s">
        <v>292</v>
      </c>
      <c r="D46" s="293">
        <v>3</v>
      </c>
      <c r="E46" s="293">
        <v>25</v>
      </c>
      <c r="F46" s="293">
        <v>3</v>
      </c>
      <c r="G46" s="293">
        <v>3</v>
      </c>
      <c r="H46" s="293"/>
      <c r="I46" s="293"/>
    </row>
    <row r="47" spans="2:9">
      <c r="B47" s="293">
        <v>14</v>
      </c>
      <c r="C47" s="100" t="s">
        <v>293</v>
      </c>
      <c r="D47" s="293">
        <v>6</v>
      </c>
      <c r="E47" s="293">
        <v>26</v>
      </c>
      <c r="F47" s="293">
        <v>4</v>
      </c>
      <c r="G47" s="293">
        <v>7</v>
      </c>
      <c r="H47" s="293"/>
      <c r="I47" s="293"/>
    </row>
    <row r="48" spans="2:9">
      <c r="B48" s="100"/>
      <c r="C48" s="100" t="s">
        <v>269</v>
      </c>
      <c r="D48" s="293">
        <f t="shared" ref="D48:I48" si="1">SUM(D34:D47)</f>
        <v>86</v>
      </c>
      <c r="E48" s="293">
        <f t="shared" si="1"/>
        <v>344</v>
      </c>
      <c r="F48" s="293">
        <f t="shared" si="1"/>
        <v>53</v>
      </c>
      <c r="G48" s="293">
        <f t="shared" si="1"/>
        <v>89</v>
      </c>
      <c r="H48" s="293">
        <f t="shared" si="1"/>
        <v>0</v>
      </c>
      <c r="I48" s="293">
        <f t="shared" si="1"/>
        <v>4</v>
      </c>
    </row>
    <row r="53" spans="2:9">
      <c r="B53" s="1514">
        <v>40</v>
      </c>
      <c r="C53" s="1514"/>
      <c r="D53" s="1514"/>
      <c r="E53" s="1514"/>
      <c r="F53" s="1514"/>
      <c r="G53" s="1514"/>
      <c r="H53" s="1514"/>
      <c r="I53" s="1514"/>
    </row>
  </sheetData>
  <mergeCells count="21">
    <mergeCell ref="B31:B33"/>
    <mergeCell ref="H6:H7"/>
    <mergeCell ref="G31:I31"/>
    <mergeCell ref="B53:I53"/>
    <mergeCell ref="D22:D23"/>
    <mergeCell ref="E22:E23"/>
    <mergeCell ref="B24:C24"/>
    <mergeCell ref="B25:C25"/>
    <mergeCell ref="H32:H33"/>
    <mergeCell ref="G32:G33"/>
    <mergeCell ref="I32:I33"/>
    <mergeCell ref="D6:D7"/>
    <mergeCell ref="E6:E7"/>
    <mergeCell ref="G6:G7"/>
    <mergeCell ref="F6:F7"/>
    <mergeCell ref="C29:I29"/>
    <mergeCell ref="B2:H2"/>
    <mergeCell ref="B5:B7"/>
    <mergeCell ref="C5:C7"/>
    <mergeCell ref="D5:E5"/>
    <mergeCell ref="F5:H5"/>
  </mergeCells>
  <pageMargins left="0.52" right="0.24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47"/>
  <sheetViews>
    <sheetView topLeftCell="A4" workbookViewId="0">
      <selection activeCell="H6" sqref="H6"/>
    </sheetView>
  </sheetViews>
  <sheetFormatPr defaultRowHeight="12.75"/>
  <cols>
    <col min="1" max="1" width="12.7109375" customWidth="1"/>
    <col min="2" max="2" width="6.5703125" style="224" customWidth="1"/>
    <col min="3" max="4" width="6.140625" style="224" customWidth="1"/>
    <col min="5" max="5" width="4.5703125" style="224" customWidth="1"/>
    <col min="6" max="6" width="6.140625" style="224" customWidth="1"/>
    <col min="7" max="7" width="4.85546875" style="224" customWidth="1"/>
    <col min="8" max="9" width="9.140625" style="274" customWidth="1"/>
    <col min="10" max="10" width="9.5703125" style="274" customWidth="1"/>
    <col min="11" max="11" width="7.42578125" style="274" customWidth="1"/>
    <col min="12" max="12" width="9.7109375" style="274" customWidth="1"/>
  </cols>
  <sheetData>
    <row r="1" spans="1:12">
      <c r="A1" s="1514" t="s">
        <v>1216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</row>
    <row r="2" spans="1:12">
      <c r="A2" s="386"/>
      <c r="B2" s="541"/>
      <c r="C2" s="541"/>
      <c r="D2" s="541"/>
      <c r="E2" s="541"/>
      <c r="F2" s="541"/>
      <c r="G2" s="541"/>
      <c r="H2" s="302"/>
      <c r="I2" s="302"/>
      <c r="J2" s="302"/>
      <c r="K2" s="302"/>
      <c r="L2" s="302"/>
    </row>
    <row r="3" spans="1:12" ht="12.75" customHeight="1">
      <c r="A3" s="1564" t="s">
        <v>58</v>
      </c>
      <c r="B3" s="829"/>
      <c r="C3" s="1604" t="s">
        <v>275</v>
      </c>
      <c r="D3" s="1608"/>
      <c r="E3" s="1608"/>
      <c r="F3" s="1608"/>
      <c r="G3" s="1609"/>
      <c r="H3" s="826"/>
      <c r="I3" s="1604" t="s">
        <v>275</v>
      </c>
      <c r="J3" s="1610"/>
      <c r="K3" s="1605"/>
      <c r="L3" s="1611" t="s">
        <v>1574</v>
      </c>
    </row>
    <row r="4" spans="1:12">
      <c r="A4" s="1565"/>
      <c r="B4" s="830"/>
      <c r="C4" s="1614" t="s">
        <v>847</v>
      </c>
      <c r="D4" s="1615"/>
      <c r="E4" s="1615"/>
      <c r="F4" s="1616"/>
      <c r="G4" s="829"/>
      <c r="H4" s="827"/>
      <c r="I4" s="296"/>
      <c r="J4" s="296"/>
      <c r="K4" s="296"/>
      <c r="L4" s="1612"/>
    </row>
    <row r="5" spans="1:12" ht="99.75" customHeight="1">
      <c r="A5" s="1566"/>
      <c r="B5" s="831" t="s">
        <v>848</v>
      </c>
      <c r="C5" s="832" t="s">
        <v>849</v>
      </c>
      <c r="D5" s="832" t="s">
        <v>850</v>
      </c>
      <c r="E5" s="833" t="s">
        <v>851</v>
      </c>
      <c r="F5" s="833" t="s">
        <v>852</v>
      </c>
      <c r="G5" s="831" t="s">
        <v>853</v>
      </c>
      <c r="H5" s="828" t="s">
        <v>854</v>
      </c>
      <c r="I5" s="828" t="s">
        <v>855</v>
      </c>
      <c r="J5" s="828" t="s">
        <v>856</v>
      </c>
      <c r="K5" s="828" t="s">
        <v>857</v>
      </c>
      <c r="L5" s="1613"/>
    </row>
    <row r="6" spans="1:12">
      <c r="A6" s="92" t="s">
        <v>277</v>
      </c>
      <c r="B6" s="834">
        <v>1</v>
      </c>
      <c r="C6" s="835">
        <v>2</v>
      </c>
      <c r="D6" s="835">
        <v>3</v>
      </c>
      <c r="E6" s="836">
        <v>4</v>
      </c>
      <c r="F6" s="836">
        <v>5</v>
      </c>
      <c r="G6" s="834">
        <v>6</v>
      </c>
      <c r="H6" s="704">
        <v>7</v>
      </c>
      <c r="I6" s="704">
        <v>8</v>
      </c>
      <c r="J6" s="704">
        <v>9</v>
      </c>
      <c r="K6" s="704">
        <v>10</v>
      </c>
      <c r="L6" s="704">
        <v>11</v>
      </c>
    </row>
    <row r="7" spans="1:12">
      <c r="A7" s="705" t="s">
        <v>280</v>
      </c>
      <c r="B7" s="837">
        <f>SUM(C7+G7)</f>
        <v>7</v>
      </c>
      <c r="C7" s="837">
        <v>5</v>
      </c>
      <c r="D7" s="835">
        <v>2</v>
      </c>
      <c r="E7" s="835">
        <v>3</v>
      </c>
      <c r="F7" s="835"/>
      <c r="G7" s="835">
        <v>2</v>
      </c>
      <c r="H7" s="89">
        <f t="shared" ref="H7:H19" si="0">SUM(I7:K7)</f>
        <v>57550</v>
      </c>
      <c r="I7" s="89">
        <v>56000</v>
      </c>
      <c r="J7" s="89"/>
      <c r="K7" s="89">
        <v>1550</v>
      </c>
      <c r="L7" s="86">
        <v>14</v>
      </c>
    </row>
    <row r="8" spans="1:12">
      <c r="A8" s="705" t="s">
        <v>281</v>
      </c>
      <c r="B8" s="837">
        <f t="shared" ref="B8:B20" si="1">SUM(C8+G8)</f>
        <v>24</v>
      </c>
      <c r="C8" s="837">
        <v>12</v>
      </c>
      <c r="D8" s="835">
        <v>12</v>
      </c>
      <c r="E8" s="835"/>
      <c r="F8" s="835"/>
      <c r="G8" s="835">
        <v>12</v>
      </c>
      <c r="H8" s="89">
        <f t="shared" si="0"/>
        <v>185300</v>
      </c>
      <c r="I8" s="89"/>
      <c r="J8" s="89">
        <v>181400</v>
      </c>
      <c r="K8" s="89">
        <v>3900</v>
      </c>
      <c r="L8" s="86">
        <v>7</v>
      </c>
    </row>
    <row r="9" spans="1:12">
      <c r="A9" s="705" t="s">
        <v>282</v>
      </c>
      <c r="B9" s="837">
        <f t="shared" si="1"/>
        <v>11</v>
      </c>
      <c r="C9" s="837">
        <v>4</v>
      </c>
      <c r="D9" s="835">
        <v>4</v>
      </c>
      <c r="E9" s="835"/>
      <c r="F9" s="835"/>
      <c r="G9" s="835">
        <v>7</v>
      </c>
      <c r="H9" s="89">
        <f t="shared" si="0"/>
        <v>19600</v>
      </c>
      <c r="I9" s="89">
        <v>15000</v>
      </c>
      <c r="J9" s="89">
        <v>2250</v>
      </c>
      <c r="K9" s="89">
        <v>2350</v>
      </c>
      <c r="L9" s="86">
        <v>13</v>
      </c>
    </row>
    <row r="10" spans="1:12">
      <c r="A10" s="705" t="s">
        <v>283</v>
      </c>
      <c r="B10" s="837">
        <f t="shared" si="1"/>
        <v>7</v>
      </c>
      <c r="C10" s="837">
        <v>2</v>
      </c>
      <c r="D10" s="835">
        <v>2</v>
      </c>
      <c r="E10" s="835"/>
      <c r="F10" s="835"/>
      <c r="G10" s="835">
        <v>5</v>
      </c>
      <c r="H10" s="89">
        <f t="shared" si="0"/>
        <v>29900</v>
      </c>
      <c r="I10" s="89">
        <v>26500</v>
      </c>
      <c r="J10" s="89">
        <v>1900</v>
      </c>
      <c r="K10" s="89">
        <v>1500</v>
      </c>
      <c r="L10" s="86">
        <v>12</v>
      </c>
    </row>
    <row r="11" spans="1:12">
      <c r="A11" s="705" t="s">
        <v>284</v>
      </c>
      <c r="B11" s="837">
        <f t="shared" si="1"/>
        <v>9</v>
      </c>
      <c r="C11" s="837">
        <v>3</v>
      </c>
      <c r="D11" s="835">
        <v>3</v>
      </c>
      <c r="E11" s="835"/>
      <c r="F11" s="835"/>
      <c r="G11" s="835">
        <v>6</v>
      </c>
      <c r="H11" s="89">
        <f t="shared" si="0"/>
        <v>53256</v>
      </c>
      <c r="I11" s="89">
        <v>46300</v>
      </c>
      <c r="J11" s="89">
        <v>3576</v>
      </c>
      <c r="K11" s="89">
        <v>3380</v>
      </c>
      <c r="L11" s="86">
        <v>16</v>
      </c>
    </row>
    <row r="12" spans="1:12">
      <c r="A12" s="705" t="s">
        <v>285</v>
      </c>
      <c r="B12" s="837">
        <f t="shared" si="1"/>
        <v>12</v>
      </c>
      <c r="C12" s="837">
        <v>3</v>
      </c>
      <c r="D12" s="835">
        <v>2</v>
      </c>
      <c r="E12" s="835">
        <v>1</v>
      </c>
      <c r="F12" s="835"/>
      <c r="G12" s="835">
        <v>9</v>
      </c>
      <c r="H12" s="89">
        <f t="shared" si="0"/>
        <v>4500</v>
      </c>
      <c r="I12" s="89"/>
      <c r="J12" s="89"/>
      <c r="K12" s="89">
        <v>4500</v>
      </c>
      <c r="L12" s="86">
        <v>18</v>
      </c>
    </row>
    <row r="13" spans="1:12">
      <c r="A13" s="705" t="s">
        <v>286</v>
      </c>
      <c r="B13" s="837">
        <f t="shared" si="1"/>
        <v>4</v>
      </c>
      <c r="C13" s="837">
        <v>1</v>
      </c>
      <c r="D13" s="838">
        <v>1</v>
      </c>
      <c r="E13" s="835"/>
      <c r="F13" s="835"/>
      <c r="G13" s="835">
        <v>3</v>
      </c>
      <c r="H13" s="89">
        <f t="shared" si="0"/>
        <v>14600</v>
      </c>
      <c r="I13" s="89">
        <v>13000</v>
      </c>
      <c r="J13" s="89"/>
      <c r="K13" s="89">
        <v>1600</v>
      </c>
      <c r="L13" s="86">
        <v>15</v>
      </c>
    </row>
    <row r="14" spans="1:12">
      <c r="A14" s="705" t="s">
        <v>287</v>
      </c>
      <c r="B14" s="837">
        <f t="shared" si="1"/>
        <v>1</v>
      </c>
      <c r="C14" s="837">
        <v>1</v>
      </c>
      <c r="D14" s="835"/>
      <c r="E14" s="835">
        <v>1</v>
      </c>
      <c r="F14" s="835"/>
      <c r="G14" s="835"/>
      <c r="H14" s="89">
        <f t="shared" si="0"/>
        <v>1450</v>
      </c>
      <c r="I14" s="89"/>
      <c r="J14" s="89">
        <v>1450</v>
      </c>
      <c r="K14" s="89"/>
      <c r="L14" s="86">
        <v>2</v>
      </c>
    </row>
    <row r="15" spans="1:12">
      <c r="A15" s="705" t="s">
        <v>288</v>
      </c>
      <c r="B15" s="837">
        <f t="shared" si="1"/>
        <v>8</v>
      </c>
      <c r="C15" s="837">
        <v>2</v>
      </c>
      <c r="D15" s="835">
        <v>2</v>
      </c>
      <c r="E15" s="835"/>
      <c r="F15" s="835"/>
      <c r="G15" s="835">
        <v>6</v>
      </c>
      <c r="H15" s="89">
        <f t="shared" si="0"/>
        <v>33735</v>
      </c>
      <c r="I15" s="89"/>
      <c r="J15" s="89">
        <v>32735</v>
      </c>
      <c r="K15" s="89">
        <v>1000</v>
      </c>
      <c r="L15" s="86">
        <v>17</v>
      </c>
    </row>
    <row r="16" spans="1:12">
      <c r="A16" s="705" t="s">
        <v>289</v>
      </c>
      <c r="B16" s="837">
        <f t="shared" si="1"/>
        <v>17</v>
      </c>
      <c r="C16" s="837">
        <v>6</v>
      </c>
      <c r="D16" s="835">
        <v>3</v>
      </c>
      <c r="E16" s="835">
        <v>3</v>
      </c>
      <c r="F16" s="835"/>
      <c r="G16" s="835">
        <v>11</v>
      </c>
      <c r="H16" s="89">
        <f t="shared" si="0"/>
        <v>53848.5</v>
      </c>
      <c r="I16" s="89">
        <v>30000</v>
      </c>
      <c r="J16" s="89">
        <v>23166.5</v>
      </c>
      <c r="K16" s="89">
        <v>682</v>
      </c>
      <c r="L16" s="86">
        <v>55</v>
      </c>
    </row>
    <row r="17" spans="1:12">
      <c r="A17" s="705" t="s">
        <v>290</v>
      </c>
      <c r="B17" s="837">
        <f t="shared" si="1"/>
        <v>6</v>
      </c>
      <c r="C17" s="837">
        <v>2</v>
      </c>
      <c r="D17" s="835"/>
      <c r="E17" s="835"/>
      <c r="F17" s="835"/>
      <c r="G17" s="835">
        <v>4</v>
      </c>
      <c r="H17" s="89">
        <f t="shared" si="0"/>
        <v>5488</v>
      </c>
      <c r="I17" s="89"/>
      <c r="J17" s="89"/>
      <c r="K17" s="89">
        <v>5488</v>
      </c>
      <c r="L17" s="86">
        <v>13</v>
      </c>
    </row>
    <row r="18" spans="1:12">
      <c r="A18" s="705" t="s">
        <v>291</v>
      </c>
      <c r="B18" s="837">
        <f t="shared" si="1"/>
        <v>7</v>
      </c>
      <c r="C18" s="837">
        <v>7</v>
      </c>
      <c r="D18" s="835">
        <v>7</v>
      </c>
      <c r="E18" s="835"/>
      <c r="F18" s="835"/>
      <c r="G18" s="835"/>
      <c r="H18" s="89">
        <f t="shared" si="0"/>
        <v>8000</v>
      </c>
      <c r="I18" s="89"/>
      <c r="J18" s="89">
        <v>8000</v>
      </c>
      <c r="K18" s="89"/>
      <c r="L18" s="700">
        <v>20</v>
      </c>
    </row>
    <row r="19" spans="1:12">
      <c r="A19" s="700" t="s">
        <v>292</v>
      </c>
      <c r="B19" s="837">
        <f t="shared" si="1"/>
        <v>2</v>
      </c>
      <c r="C19" s="837"/>
      <c r="D19" s="835"/>
      <c r="E19" s="835"/>
      <c r="F19" s="835"/>
      <c r="G19" s="835">
        <v>2</v>
      </c>
      <c r="H19" s="89">
        <f t="shared" si="0"/>
        <v>500</v>
      </c>
      <c r="I19" s="89"/>
      <c r="J19" s="89"/>
      <c r="K19" s="89">
        <v>500</v>
      </c>
      <c r="L19" s="86">
        <v>7</v>
      </c>
    </row>
    <row r="20" spans="1:12">
      <c r="A20" s="700" t="s">
        <v>293</v>
      </c>
      <c r="B20" s="837">
        <f t="shared" si="1"/>
        <v>9</v>
      </c>
      <c r="C20" s="837">
        <v>9</v>
      </c>
      <c r="D20" s="835">
        <v>9</v>
      </c>
      <c r="E20" s="835"/>
      <c r="F20" s="835"/>
      <c r="G20" s="835"/>
      <c r="H20" s="89">
        <f>SUM(I20:K20)</f>
        <v>146568</v>
      </c>
      <c r="I20" s="89"/>
      <c r="J20" s="89">
        <v>146568</v>
      </c>
      <c r="K20" s="89"/>
      <c r="L20" s="86">
        <v>8</v>
      </c>
    </row>
    <row r="21" spans="1:12">
      <c r="A21" s="86" t="s">
        <v>269</v>
      </c>
      <c r="B21" s="835">
        <f t="shared" ref="B21:L21" si="2">SUM(B7:B20)</f>
        <v>124</v>
      </c>
      <c r="C21" s="835">
        <f t="shared" si="2"/>
        <v>57</v>
      </c>
      <c r="D21" s="835">
        <f t="shared" si="2"/>
        <v>47</v>
      </c>
      <c r="E21" s="835">
        <f t="shared" si="2"/>
        <v>8</v>
      </c>
      <c r="F21" s="835">
        <f t="shared" si="2"/>
        <v>0</v>
      </c>
      <c r="G21" s="835">
        <f t="shared" si="2"/>
        <v>67</v>
      </c>
      <c r="H21" s="89">
        <f t="shared" si="2"/>
        <v>614295.5</v>
      </c>
      <c r="I21" s="89">
        <f t="shared" si="2"/>
        <v>186800</v>
      </c>
      <c r="J21" s="89">
        <f t="shared" si="2"/>
        <v>401045.5</v>
      </c>
      <c r="K21" s="89">
        <f t="shared" si="2"/>
        <v>26450</v>
      </c>
      <c r="L21" s="86">
        <f t="shared" si="2"/>
        <v>217</v>
      </c>
    </row>
    <row r="22" spans="1:12">
      <c r="A22" s="86" t="s">
        <v>1208</v>
      </c>
      <c r="B22" s="835">
        <v>101</v>
      </c>
      <c r="C22" s="835">
        <v>32</v>
      </c>
      <c r="D22" s="835">
        <v>28</v>
      </c>
      <c r="E22" s="835">
        <v>0</v>
      </c>
      <c r="F22" s="835">
        <v>0</v>
      </c>
      <c r="G22" s="835">
        <v>69</v>
      </c>
      <c r="H22" s="89">
        <v>452956.7</v>
      </c>
      <c r="I22" s="89">
        <v>389939.7</v>
      </c>
      <c r="J22" s="89">
        <v>24613.1</v>
      </c>
      <c r="K22" s="89">
        <v>38403.9</v>
      </c>
      <c r="L22" s="86">
        <v>248</v>
      </c>
    </row>
    <row r="23" spans="1:12" ht="12.75" customHeight="1">
      <c r="A23" s="1617" t="s">
        <v>1488</v>
      </c>
      <c r="B23" s="1617"/>
      <c r="C23" s="1617"/>
      <c r="D23" s="1617"/>
      <c r="E23" s="1617"/>
      <c r="F23" s="1617"/>
      <c r="G23" s="1617"/>
      <c r="H23" s="1617"/>
      <c r="I23" s="1617"/>
      <c r="J23" s="1617"/>
      <c r="K23" s="1617"/>
      <c r="L23" s="1617"/>
    </row>
    <row r="24" spans="1:12" ht="12.75" customHeight="1">
      <c r="A24" s="1580"/>
      <c r="B24" s="829"/>
      <c r="C24" s="1614" t="s">
        <v>275</v>
      </c>
      <c r="D24" s="1618"/>
      <c r="E24" s="1618"/>
      <c r="F24" s="1618"/>
      <c r="G24" s="1619"/>
      <c r="H24" s="701"/>
      <c r="I24" s="1590" t="s">
        <v>275</v>
      </c>
      <c r="J24" s="1617"/>
      <c r="K24" s="1591"/>
      <c r="L24" s="1578" t="s">
        <v>858</v>
      </c>
    </row>
    <row r="25" spans="1:12">
      <c r="A25" s="1581"/>
      <c r="B25" s="830"/>
      <c r="C25" s="1614" t="s">
        <v>275</v>
      </c>
      <c r="D25" s="1615"/>
      <c r="E25" s="1615"/>
      <c r="F25" s="1616"/>
      <c r="G25" s="829"/>
      <c r="H25" s="702"/>
      <c r="I25" s="87"/>
      <c r="J25" s="87"/>
      <c r="K25" s="87"/>
      <c r="L25" s="1620"/>
    </row>
    <row r="26" spans="1:12" ht="102">
      <c r="A26" s="1582"/>
      <c r="B26" s="831" t="s">
        <v>859</v>
      </c>
      <c r="C26" s="832" t="s">
        <v>849</v>
      </c>
      <c r="D26" s="832" t="s">
        <v>850</v>
      </c>
      <c r="E26" s="833" t="s">
        <v>851</v>
      </c>
      <c r="F26" s="833" t="s">
        <v>852</v>
      </c>
      <c r="G26" s="831" t="s">
        <v>853</v>
      </c>
      <c r="H26" s="703" t="s">
        <v>854</v>
      </c>
      <c r="I26" s="703" t="s">
        <v>855</v>
      </c>
      <c r="J26" s="703" t="s">
        <v>856</v>
      </c>
      <c r="K26" s="703" t="s">
        <v>857</v>
      </c>
      <c r="L26" s="1579"/>
    </row>
    <row r="27" spans="1:12">
      <c r="A27" s="90" t="s">
        <v>277</v>
      </c>
      <c r="B27" s="835">
        <v>12</v>
      </c>
      <c r="C27" s="835">
        <v>13</v>
      </c>
      <c r="D27" s="835">
        <v>14</v>
      </c>
      <c r="E27" s="835">
        <v>15</v>
      </c>
      <c r="F27" s="835">
        <v>16</v>
      </c>
      <c r="G27" s="835">
        <v>17</v>
      </c>
      <c r="H27" s="90">
        <v>18</v>
      </c>
      <c r="I27" s="90">
        <v>19</v>
      </c>
      <c r="J27" s="90">
        <v>20</v>
      </c>
      <c r="K27" s="90">
        <v>21</v>
      </c>
      <c r="L27" s="90">
        <v>22</v>
      </c>
    </row>
    <row r="28" spans="1:12">
      <c r="A28" s="705" t="s">
        <v>280</v>
      </c>
      <c r="B28" s="837">
        <f t="shared" ref="B28:B41" si="3">SUM(C28+G28)</f>
        <v>15</v>
      </c>
      <c r="C28" s="837">
        <v>4</v>
      </c>
      <c r="D28" s="835">
        <v>2</v>
      </c>
      <c r="E28" s="835">
        <v>2</v>
      </c>
      <c r="F28" s="835"/>
      <c r="G28" s="835">
        <v>11</v>
      </c>
      <c r="H28" s="89">
        <f t="shared" ref="H28:H41" si="4">SUM(I28:K28)</f>
        <v>850</v>
      </c>
      <c r="I28" s="86"/>
      <c r="J28" s="86"/>
      <c r="K28" s="89">
        <v>850</v>
      </c>
      <c r="L28" s="86">
        <v>17</v>
      </c>
    </row>
    <row r="29" spans="1:12">
      <c r="A29" s="705" t="s">
        <v>281</v>
      </c>
      <c r="B29" s="837">
        <f t="shared" si="3"/>
        <v>8</v>
      </c>
      <c r="C29" s="837"/>
      <c r="D29" s="835"/>
      <c r="E29" s="835"/>
      <c r="F29" s="835"/>
      <c r="G29" s="835">
        <v>8</v>
      </c>
      <c r="H29" s="89">
        <f t="shared" si="4"/>
        <v>3050</v>
      </c>
      <c r="I29" s="89"/>
      <c r="J29" s="86">
        <v>1600</v>
      </c>
      <c r="K29" s="89">
        <v>1450</v>
      </c>
      <c r="L29" s="86">
        <v>22</v>
      </c>
    </row>
    <row r="30" spans="1:12">
      <c r="A30" s="705" t="s">
        <v>282</v>
      </c>
      <c r="B30" s="837">
        <f t="shared" si="3"/>
        <v>0</v>
      </c>
      <c r="C30" s="837"/>
      <c r="D30" s="835"/>
      <c r="E30" s="835"/>
      <c r="F30" s="835"/>
      <c r="G30" s="835"/>
      <c r="H30" s="89">
        <f t="shared" si="4"/>
        <v>0</v>
      </c>
      <c r="I30" s="89"/>
      <c r="J30" s="86"/>
      <c r="K30" s="89"/>
      <c r="L30" s="86"/>
    </row>
    <row r="31" spans="1:12">
      <c r="A31" s="705" t="s">
        <v>283</v>
      </c>
      <c r="B31" s="837">
        <f t="shared" si="3"/>
        <v>12</v>
      </c>
      <c r="C31" s="837">
        <v>5</v>
      </c>
      <c r="D31" s="835">
        <v>4</v>
      </c>
      <c r="E31" s="835">
        <v>1</v>
      </c>
      <c r="F31" s="835"/>
      <c r="G31" s="835">
        <v>7</v>
      </c>
      <c r="H31" s="89">
        <f t="shared" si="4"/>
        <v>2710</v>
      </c>
      <c r="I31" s="89"/>
      <c r="J31" s="86">
        <v>2150</v>
      </c>
      <c r="K31" s="89">
        <v>560</v>
      </c>
      <c r="L31" s="86">
        <v>29</v>
      </c>
    </row>
    <row r="32" spans="1:12">
      <c r="A32" s="705" t="s">
        <v>284</v>
      </c>
      <c r="B32" s="837">
        <f t="shared" si="3"/>
        <v>3</v>
      </c>
      <c r="C32" s="837">
        <v>1</v>
      </c>
      <c r="D32" s="835">
        <v>1</v>
      </c>
      <c r="E32" s="835"/>
      <c r="F32" s="835"/>
      <c r="G32" s="835">
        <v>2</v>
      </c>
      <c r="H32" s="89">
        <f t="shared" si="4"/>
        <v>3200</v>
      </c>
      <c r="I32" s="86"/>
      <c r="J32" s="89">
        <v>2900</v>
      </c>
      <c r="K32" s="89">
        <v>300</v>
      </c>
      <c r="L32" s="86">
        <v>6</v>
      </c>
    </row>
    <row r="33" spans="1:12">
      <c r="A33" s="705" t="s">
        <v>285</v>
      </c>
      <c r="B33" s="837">
        <f t="shared" si="3"/>
        <v>12</v>
      </c>
      <c r="C33" s="837"/>
      <c r="D33" s="835"/>
      <c r="E33" s="835"/>
      <c r="F33" s="835"/>
      <c r="G33" s="835">
        <v>12</v>
      </c>
      <c r="H33" s="89">
        <f t="shared" si="4"/>
        <v>7250</v>
      </c>
      <c r="I33" s="89"/>
      <c r="J33" s="89"/>
      <c r="K33" s="89">
        <v>7250</v>
      </c>
      <c r="L33" s="94">
        <v>46</v>
      </c>
    </row>
    <row r="34" spans="1:12">
      <c r="A34" s="705" t="s">
        <v>286</v>
      </c>
      <c r="B34" s="837">
        <f t="shared" si="3"/>
        <v>0</v>
      </c>
      <c r="C34" s="837"/>
      <c r="D34" s="835"/>
      <c r="E34" s="835"/>
      <c r="F34" s="835"/>
      <c r="G34" s="835"/>
      <c r="H34" s="89">
        <f t="shared" si="4"/>
        <v>0</v>
      </c>
      <c r="I34" s="86"/>
      <c r="J34" s="86"/>
      <c r="K34" s="89"/>
      <c r="L34" s="86"/>
    </row>
    <row r="35" spans="1:12">
      <c r="A35" s="705" t="s">
        <v>287</v>
      </c>
      <c r="B35" s="837">
        <f t="shared" si="3"/>
        <v>0</v>
      </c>
      <c r="C35" s="837"/>
      <c r="D35" s="835"/>
      <c r="E35" s="835"/>
      <c r="F35" s="835"/>
      <c r="G35" s="835"/>
      <c r="H35" s="89">
        <f t="shared" si="4"/>
        <v>0</v>
      </c>
      <c r="I35" s="89"/>
      <c r="J35" s="86"/>
      <c r="K35" s="89"/>
      <c r="L35" s="86"/>
    </row>
    <row r="36" spans="1:12">
      <c r="A36" s="705" t="s">
        <v>288</v>
      </c>
      <c r="B36" s="837">
        <f t="shared" si="3"/>
        <v>0</v>
      </c>
      <c r="C36" s="837"/>
      <c r="D36" s="835"/>
      <c r="E36" s="835"/>
      <c r="F36" s="835"/>
      <c r="G36" s="835"/>
      <c r="H36" s="89">
        <f t="shared" si="4"/>
        <v>0</v>
      </c>
      <c r="I36" s="86"/>
      <c r="J36" s="86"/>
      <c r="K36" s="89"/>
      <c r="L36" s="86"/>
    </row>
    <row r="37" spans="1:12">
      <c r="A37" s="705" t="s">
        <v>289</v>
      </c>
      <c r="B37" s="837">
        <f t="shared" si="3"/>
        <v>11</v>
      </c>
      <c r="C37" s="837">
        <v>6</v>
      </c>
      <c r="D37" s="835">
        <v>2</v>
      </c>
      <c r="E37" s="835">
        <v>1</v>
      </c>
      <c r="F37" s="835">
        <v>3</v>
      </c>
      <c r="G37" s="835">
        <v>5</v>
      </c>
      <c r="H37" s="89">
        <f t="shared" si="4"/>
        <v>3130</v>
      </c>
      <c r="I37" s="86"/>
      <c r="J37" s="86">
        <v>2450</v>
      </c>
      <c r="K37" s="89">
        <v>680</v>
      </c>
      <c r="L37" s="86">
        <v>31</v>
      </c>
    </row>
    <row r="38" spans="1:12">
      <c r="A38" s="705" t="s">
        <v>290</v>
      </c>
      <c r="B38" s="837">
        <f t="shared" si="3"/>
        <v>4</v>
      </c>
      <c r="C38" s="837"/>
      <c r="D38" s="835"/>
      <c r="E38" s="835"/>
      <c r="F38" s="835"/>
      <c r="G38" s="835">
        <v>4</v>
      </c>
      <c r="H38" s="89">
        <f t="shared" si="4"/>
        <v>1100.9000000000001</v>
      </c>
      <c r="I38" s="89"/>
      <c r="J38" s="86">
        <v>350.9</v>
      </c>
      <c r="K38" s="89">
        <v>750</v>
      </c>
      <c r="L38" s="86">
        <v>11</v>
      </c>
    </row>
    <row r="39" spans="1:12">
      <c r="A39" s="705" t="s">
        <v>291</v>
      </c>
      <c r="B39" s="837">
        <f t="shared" si="3"/>
        <v>4</v>
      </c>
      <c r="C39" s="837"/>
      <c r="D39" s="835"/>
      <c r="E39" s="835"/>
      <c r="F39" s="835"/>
      <c r="G39" s="835">
        <v>4</v>
      </c>
      <c r="H39" s="89">
        <f t="shared" si="4"/>
        <v>2000</v>
      </c>
      <c r="I39" s="86"/>
      <c r="J39" s="86"/>
      <c r="K39" s="89">
        <v>2000</v>
      </c>
      <c r="L39" s="86">
        <v>12</v>
      </c>
    </row>
    <row r="40" spans="1:12">
      <c r="A40" s="705" t="s">
        <v>292</v>
      </c>
      <c r="B40" s="837">
        <f t="shared" si="3"/>
        <v>0</v>
      </c>
      <c r="C40" s="837"/>
      <c r="D40" s="835"/>
      <c r="E40" s="835"/>
      <c r="F40" s="835"/>
      <c r="G40" s="835"/>
      <c r="H40" s="89">
        <f t="shared" si="4"/>
        <v>0</v>
      </c>
      <c r="I40" s="89"/>
      <c r="J40" s="86"/>
      <c r="K40" s="89"/>
      <c r="L40" s="86"/>
    </row>
    <row r="41" spans="1:12">
      <c r="A41" s="86" t="s">
        <v>293</v>
      </c>
      <c r="B41" s="837">
        <f t="shared" si="3"/>
        <v>25</v>
      </c>
      <c r="C41" s="837"/>
      <c r="D41" s="835"/>
      <c r="E41" s="835"/>
      <c r="F41" s="835"/>
      <c r="G41" s="835">
        <v>25</v>
      </c>
      <c r="H41" s="89">
        <f t="shared" si="4"/>
        <v>6700</v>
      </c>
      <c r="I41" s="89"/>
      <c r="J41" s="86"/>
      <c r="K41" s="706">
        <v>6700</v>
      </c>
      <c r="L41" s="86">
        <v>63</v>
      </c>
    </row>
    <row r="42" spans="1:12">
      <c r="A42" s="86" t="s">
        <v>269</v>
      </c>
      <c r="B42" s="835">
        <f>SUM(B28:B41)</f>
        <v>94</v>
      </c>
      <c r="C42" s="835">
        <f>SUM(C28:C41)</f>
        <v>16</v>
      </c>
      <c r="D42" s="835">
        <f t="shared" ref="D42:L42" si="5">SUM(D28:D41)</f>
        <v>9</v>
      </c>
      <c r="E42" s="835">
        <f t="shared" si="5"/>
        <v>4</v>
      </c>
      <c r="F42" s="835">
        <f t="shared" si="5"/>
        <v>3</v>
      </c>
      <c r="G42" s="835">
        <f t="shared" si="5"/>
        <v>78</v>
      </c>
      <c r="H42" s="89">
        <f t="shared" si="5"/>
        <v>29990.9</v>
      </c>
      <c r="I42" s="89">
        <f t="shared" si="5"/>
        <v>0</v>
      </c>
      <c r="J42" s="89">
        <f t="shared" si="5"/>
        <v>9450.9</v>
      </c>
      <c r="K42" s="89">
        <f t="shared" si="5"/>
        <v>20540</v>
      </c>
      <c r="L42" s="86">
        <f t="shared" si="5"/>
        <v>237</v>
      </c>
    </row>
    <row r="43" spans="1:12">
      <c r="A43" s="86" t="s">
        <v>1208</v>
      </c>
      <c r="B43" s="839">
        <v>107</v>
      </c>
      <c r="C43" s="839">
        <v>8</v>
      </c>
      <c r="D43" s="839">
        <v>2</v>
      </c>
      <c r="E43" s="839">
        <v>7</v>
      </c>
      <c r="F43" s="839">
        <v>0</v>
      </c>
      <c r="G43" s="839">
        <v>99</v>
      </c>
      <c r="H43" s="708">
        <v>20805</v>
      </c>
      <c r="I43" s="708">
        <v>250</v>
      </c>
      <c r="J43" s="708">
        <v>1500</v>
      </c>
      <c r="K43" s="708">
        <v>19055</v>
      </c>
      <c r="L43" s="707">
        <v>263</v>
      </c>
    </row>
    <row r="44" spans="1:12">
      <c r="A44" s="99"/>
      <c r="B44" s="541"/>
      <c r="C44" s="541"/>
      <c r="D44" s="541"/>
      <c r="E44" s="541"/>
      <c r="F44" s="541"/>
      <c r="G44" s="541"/>
      <c r="H44" s="302"/>
      <c r="I44" s="302"/>
      <c r="J44" s="302"/>
      <c r="K44" s="302"/>
      <c r="L44" s="302"/>
    </row>
    <row r="45" spans="1:12">
      <c r="A45" s="1514">
        <v>41</v>
      </c>
      <c r="B45" s="1514"/>
      <c r="C45" s="1514"/>
      <c r="D45" s="1514"/>
      <c r="E45" s="1514"/>
      <c r="F45" s="1514"/>
      <c r="G45" s="1514"/>
      <c r="H45" s="1514"/>
      <c r="I45" s="1514"/>
      <c r="J45" s="1514"/>
      <c r="K45" s="1514"/>
      <c r="L45" s="1514"/>
    </row>
    <row r="47" spans="1:12">
      <c r="A47" s="99"/>
      <c r="B47" s="541"/>
      <c r="C47" s="541"/>
      <c r="D47" s="541"/>
      <c r="E47" s="541"/>
      <c r="F47" s="541"/>
      <c r="G47" s="541"/>
      <c r="H47" s="302"/>
      <c r="I47" s="302"/>
      <c r="J47" s="302"/>
      <c r="K47" s="302"/>
      <c r="L47" s="302"/>
    </row>
  </sheetData>
  <mergeCells count="13">
    <mergeCell ref="A45:L45"/>
    <mergeCell ref="A1:L1"/>
    <mergeCell ref="A3:A5"/>
    <mergeCell ref="C3:G3"/>
    <mergeCell ref="I3:K3"/>
    <mergeCell ref="L3:L5"/>
    <mergeCell ref="C4:F4"/>
    <mergeCell ref="A23:L23"/>
    <mergeCell ref="A24:A26"/>
    <mergeCell ref="C24:G24"/>
    <mergeCell ref="I24:K24"/>
    <mergeCell ref="L24:L26"/>
    <mergeCell ref="C25:F25"/>
  </mergeCells>
  <pageMargins left="0.7" right="0.43" top="0.44" bottom="0.28999999999999998" header="0.3" footer="0.2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CI75"/>
  <sheetViews>
    <sheetView topLeftCell="A21" workbookViewId="0">
      <pane xSplit="1" ySplit="5" topLeftCell="B26" activePane="bottomRight" state="frozenSplit"/>
      <selection activeCell="A21" sqref="A21"/>
      <selection pane="topRight" activeCell="B21" sqref="B21"/>
      <selection pane="bottomLeft" activeCell="A26" sqref="A26"/>
      <selection pane="bottomRight" activeCell="F32" sqref="F32"/>
    </sheetView>
  </sheetViews>
  <sheetFormatPr defaultRowHeight="12.75"/>
  <cols>
    <col min="1" max="1" width="23" style="4" customWidth="1"/>
    <col min="2" max="2" width="7.5703125" style="4" customWidth="1"/>
    <col min="3" max="3" width="9.140625" style="4"/>
    <col min="4" max="4" width="7.5703125" style="4" customWidth="1"/>
    <col min="5" max="5" width="10.28515625" style="4" customWidth="1"/>
    <col min="6" max="6" width="8.5703125" style="4" customWidth="1"/>
    <col min="7" max="7" width="7.7109375" style="4" customWidth="1"/>
    <col min="8" max="8" width="9.7109375" style="4" customWidth="1"/>
    <col min="9" max="10" width="9.140625" style="4"/>
    <col min="11" max="11" width="10.7109375" style="4" customWidth="1"/>
    <col min="12" max="12" width="7.28515625" style="4" customWidth="1"/>
    <col min="13" max="13" width="7.42578125" style="4" customWidth="1"/>
    <col min="14" max="14" width="10.42578125" style="4" customWidth="1"/>
    <col min="15" max="15" width="9.140625" style="4"/>
    <col min="16" max="16" width="3.28515625" style="4" customWidth="1"/>
    <col min="17" max="17" width="13" style="4" customWidth="1"/>
    <col min="18" max="18" width="6.7109375" style="4" customWidth="1"/>
    <col min="19" max="19" width="5.7109375" style="4" customWidth="1"/>
    <col min="20" max="20" width="8.7109375" style="4" customWidth="1"/>
    <col min="21" max="21" width="6.7109375" style="4" customWidth="1"/>
    <col min="22" max="22" width="5.7109375" style="4" customWidth="1"/>
    <col min="23" max="23" width="8.7109375" style="4" customWidth="1"/>
    <col min="24" max="24" width="6.7109375" style="4" customWidth="1"/>
    <col min="25" max="25" width="5.7109375" style="4" customWidth="1"/>
    <col min="26" max="26" width="8.7109375" style="4" customWidth="1"/>
    <col min="27" max="30" width="6.7109375" style="4" customWidth="1"/>
    <col min="31" max="31" width="3.28515625" style="4" customWidth="1"/>
    <col min="32" max="32" width="14" style="4" customWidth="1"/>
    <col min="33" max="33" width="6.7109375" style="4" customWidth="1"/>
    <col min="34" max="34" width="5.7109375" style="4" customWidth="1"/>
    <col min="35" max="35" width="8.7109375" style="4" customWidth="1"/>
    <col min="36" max="36" width="6.7109375" style="4" customWidth="1"/>
    <col min="37" max="37" width="5.7109375" style="4" customWidth="1"/>
    <col min="38" max="38" width="8.7109375" style="4" customWidth="1"/>
    <col min="39" max="39" width="6.7109375" style="4" customWidth="1"/>
    <col min="40" max="40" width="5.7109375" style="4" customWidth="1"/>
    <col min="41" max="41" width="8.7109375" style="4" customWidth="1"/>
    <col min="42" max="48" width="6.7109375" style="4" customWidth="1"/>
    <col min="49" max="16384" width="9.140625" style="4"/>
  </cols>
  <sheetData>
    <row r="1" spans="1:87" ht="18">
      <c r="A1" s="5"/>
      <c r="B1" s="57" t="s">
        <v>246</v>
      </c>
      <c r="C1" s="57"/>
      <c r="D1" s="57"/>
      <c r="E1" s="57"/>
      <c r="F1" s="5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</row>
    <row r="2" spans="1:87" ht="18.75" thickBot="1">
      <c r="A2" s="5"/>
      <c r="B2" s="5"/>
      <c r="C2" s="5"/>
      <c r="D2" s="57"/>
      <c r="E2" s="57"/>
      <c r="F2" s="57"/>
      <c r="G2" s="57"/>
      <c r="H2" s="57" t="s">
        <v>247</v>
      </c>
      <c r="I2" s="5"/>
      <c r="J2" s="5"/>
      <c r="K2" s="5"/>
      <c r="L2" s="6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</row>
    <row r="3" spans="1:87" ht="15.75" thickBot="1">
      <c r="A3" s="7"/>
      <c r="B3" s="8"/>
      <c r="C3" s="9" t="s">
        <v>207</v>
      </c>
      <c r="D3" s="9"/>
      <c r="E3" s="9"/>
      <c r="F3" s="10"/>
      <c r="G3" s="8"/>
      <c r="H3" s="9" t="s">
        <v>208</v>
      </c>
      <c r="I3" s="11"/>
      <c r="J3" s="11"/>
      <c r="K3" s="11"/>
      <c r="L3" s="58" t="s">
        <v>240</v>
      </c>
      <c r="M3" s="11"/>
      <c r="N3" s="10"/>
      <c r="O3" s="12"/>
      <c r="P3" s="12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</row>
    <row r="4" spans="1:87" ht="15.75" thickBot="1">
      <c r="A4" s="13" t="s">
        <v>210</v>
      </c>
      <c r="B4" s="14" t="s">
        <v>211</v>
      </c>
      <c r="C4" s="15" t="s">
        <v>212</v>
      </c>
      <c r="D4" s="16"/>
      <c r="E4" s="15" t="s">
        <v>213</v>
      </c>
      <c r="F4" s="16"/>
      <c r="G4" s="14" t="s">
        <v>211</v>
      </c>
      <c r="H4" s="15" t="s">
        <v>212</v>
      </c>
      <c r="I4" s="16"/>
      <c r="J4" s="15" t="s">
        <v>213</v>
      </c>
      <c r="K4" s="17"/>
      <c r="L4" s="14"/>
      <c r="M4" s="58" t="s">
        <v>239</v>
      </c>
      <c r="N4" s="10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</row>
    <row r="5" spans="1:87" ht="15">
      <c r="A5" s="13"/>
      <c r="B5" s="18" t="s">
        <v>201</v>
      </c>
      <c r="C5" s="14" t="s">
        <v>214</v>
      </c>
      <c r="D5" s="14" t="s">
        <v>215</v>
      </c>
      <c r="E5" s="14" t="s">
        <v>216</v>
      </c>
      <c r="F5" s="14" t="s">
        <v>217</v>
      </c>
      <c r="G5" s="18" t="s">
        <v>201</v>
      </c>
      <c r="H5" s="14" t="s">
        <v>214</v>
      </c>
      <c r="I5" s="14" t="s">
        <v>215</v>
      </c>
      <c r="J5" s="14" t="s">
        <v>216</v>
      </c>
      <c r="K5" s="19" t="s">
        <v>217</v>
      </c>
      <c r="L5" s="18" t="s">
        <v>245</v>
      </c>
      <c r="M5" s="7" t="s">
        <v>242</v>
      </c>
      <c r="N5" s="7" t="s">
        <v>243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</row>
    <row r="6" spans="1:87" ht="15.75" thickBot="1">
      <c r="A6" s="20"/>
      <c r="B6" s="21"/>
      <c r="C6" s="21"/>
      <c r="D6" s="21"/>
      <c r="E6" s="21" t="s">
        <v>218</v>
      </c>
      <c r="F6" s="21" t="s">
        <v>219</v>
      </c>
      <c r="G6" s="21"/>
      <c r="H6" s="21"/>
      <c r="I6" s="21"/>
      <c r="J6" s="21" t="s">
        <v>218</v>
      </c>
      <c r="K6" s="22" t="s">
        <v>219</v>
      </c>
      <c r="L6" s="18"/>
      <c r="M6" s="13"/>
      <c r="N6" s="13" t="s">
        <v>244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</row>
    <row r="7" spans="1:87" ht="15.75">
      <c r="A7" s="23" t="s">
        <v>220</v>
      </c>
      <c r="B7" s="59"/>
      <c r="C7" s="24"/>
      <c r="D7" s="59"/>
      <c r="E7" s="24"/>
      <c r="F7" s="24"/>
      <c r="G7" s="25">
        <v>12</v>
      </c>
      <c r="H7" s="26">
        <v>10.199999999999999</v>
      </c>
      <c r="I7" s="26">
        <v>10</v>
      </c>
      <c r="J7" s="25">
        <f t="shared" ref="J7:J21" si="0">H7/G7*100</f>
        <v>85</v>
      </c>
      <c r="K7" s="60">
        <f>H7/I7*100</f>
        <v>102</v>
      </c>
      <c r="L7" s="25"/>
      <c r="M7" s="61"/>
      <c r="N7" s="62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</row>
    <row r="8" spans="1:87" ht="15.75">
      <c r="A8" s="28" t="s">
        <v>221</v>
      </c>
      <c r="B8" s="24"/>
      <c r="C8" s="51"/>
      <c r="D8" s="29"/>
      <c r="E8" s="24"/>
      <c r="F8" s="24"/>
      <c r="G8" s="30">
        <v>3</v>
      </c>
      <c r="H8" s="24"/>
      <c r="I8" s="24">
        <v>3.5</v>
      </c>
      <c r="J8" s="30">
        <f t="shared" si="0"/>
        <v>0</v>
      </c>
      <c r="K8" s="63">
        <f t="shared" ref="K8:K21" si="1">H8/I8*100</f>
        <v>0</v>
      </c>
      <c r="L8" s="30"/>
      <c r="M8" s="64"/>
      <c r="N8" s="65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</row>
    <row r="9" spans="1:87" ht="15.75">
      <c r="A9" s="28" t="s">
        <v>222</v>
      </c>
      <c r="B9" s="24">
        <v>800</v>
      </c>
      <c r="C9" s="24">
        <v>880</v>
      </c>
      <c r="D9" s="24">
        <v>800</v>
      </c>
      <c r="E9" s="24">
        <f t="shared" ref="E9:E21" si="2">C9/B9*100</f>
        <v>110.00000000000001</v>
      </c>
      <c r="F9" s="24">
        <f t="shared" ref="F9:F21" si="3">C9/D9*100</f>
        <v>110.00000000000001</v>
      </c>
      <c r="G9" s="30">
        <v>30</v>
      </c>
      <c r="H9" s="24">
        <v>31</v>
      </c>
      <c r="I9" s="24">
        <v>31.8</v>
      </c>
      <c r="J9" s="30">
        <f t="shared" si="0"/>
        <v>103.33333333333334</v>
      </c>
      <c r="K9" s="63">
        <f t="shared" si="1"/>
        <v>97.484276729559753</v>
      </c>
      <c r="L9" s="30"/>
      <c r="M9" s="64"/>
      <c r="N9" s="65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</row>
    <row r="10" spans="1:87" ht="15.75">
      <c r="A10" s="28" t="s">
        <v>223</v>
      </c>
      <c r="B10" s="29"/>
      <c r="C10" s="24"/>
      <c r="D10" s="24"/>
      <c r="E10" s="24"/>
      <c r="F10" s="24"/>
      <c r="G10" s="30">
        <v>4</v>
      </c>
      <c r="H10" s="24">
        <v>2</v>
      </c>
      <c r="I10" s="24">
        <v>4</v>
      </c>
      <c r="J10" s="30">
        <f t="shared" si="0"/>
        <v>50</v>
      </c>
      <c r="K10" s="63">
        <f t="shared" si="1"/>
        <v>50</v>
      </c>
      <c r="L10" s="30"/>
      <c r="M10" s="64"/>
      <c r="N10" s="65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</row>
    <row r="11" spans="1:87" ht="15.75">
      <c r="A11" s="28" t="s">
        <v>224</v>
      </c>
      <c r="B11" s="29"/>
      <c r="C11" s="24"/>
      <c r="D11" s="29"/>
      <c r="E11" s="24"/>
      <c r="F11" s="24"/>
      <c r="G11" s="30">
        <v>10</v>
      </c>
      <c r="H11" s="24">
        <v>8</v>
      </c>
      <c r="I11" s="24">
        <v>10</v>
      </c>
      <c r="J11" s="30">
        <f t="shared" si="0"/>
        <v>80</v>
      </c>
      <c r="K11" s="63">
        <f t="shared" si="1"/>
        <v>80</v>
      </c>
      <c r="L11" s="30"/>
      <c r="M11" s="64"/>
      <c r="N11" s="65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</row>
    <row r="12" spans="1:87" ht="15.75">
      <c r="A12" s="28" t="s">
        <v>225</v>
      </c>
      <c r="B12" s="24"/>
      <c r="C12" s="24"/>
      <c r="D12" s="24"/>
      <c r="E12" s="24"/>
      <c r="F12" s="24"/>
      <c r="G12" s="30">
        <v>2</v>
      </c>
      <c r="H12" s="24">
        <v>2</v>
      </c>
      <c r="I12" s="24">
        <v>2</v>
      </c>
      <c r="J12" s="30">
        <f t="shared" si="0"/>
        <v>100</v>
      </c>
      <c r="K12" s="63">
        <f t="shared" si="1"/>
        <v>100</v>
      </c>
      <c r="L12" s="30"/>
      <c r="M12" s="64"/>
      <c r="N12" s="65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</row>
    <row r="13" spans="1:87" ht="15.75">
      <c r="A13" s="28" t="s">
        <v>226</v>
      </c>
      <c r="B13" s="24">
        <v>2650</v>
      </c>
      <c r="C13" s="24">
        <v>2580</v>
      </c>
      <c r="D13" s="24">
        <v>1690</v>
      </c>
      <c r="E13" s="24">
        <f t="shared" si="2"/>
        <v>97.35849056603773</v>
      </c>
      <c r="F13" s="24">
        <f t="shared" si="3"/>
        <v>152.66272189349112</v>
      </c>
      <c r="G13" s="30">
        <v>8</v>
      </c>
      <c r="H13" s="24">
        <v>6.7</v>
      </c>
      <c r="I13" s="24">
        <v>4.5</v>
      </c>
      <c r="J13" s="30">
        <f t="shared" si="0"/>
        <v>83.75</v>
      </c>
      <c r="K13" s="63">
        <f t="shared" si="1"/>
        <v>148.88888888888889</v>
      </c>
      <c r="L13" s="30"/>
      <c r="M13" s="64"/>
      <c r="N13" s="65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</row>
    <row r="14" spans="1:87" ht="15.75">
      <c r="A14" s="28" t="s">
        <v>227</v>
      </c>
      <c r="B14" s="29">
        <v>200</v>
      </c>
      <c r="C14" s="24">
        <v>200</v>
      </c>
      <c r="D14" s="24"/>
      <c r="E14" s="24">
        <f t="shared" si="2"/>
        <v>100</v>
      </c>
      <c r="F14" s="24" t="e">
        <f t="shared" si="3"/>
        <v>#DIV/0!</v>
      </c>
      <c r="G14" s="30">
        <v>3</v>
      </c>
      <c r="H14" s="24">
        <v>0</v>
      </c>
      <c r="I14" s="24"/>
      <c r="J14" s="30">
        <f t="shared" si="0"/>
        <v>0</v>
      </c>
      <c r="K14" s="63" t="e">
        <f t="shared" si="1"/>
        <v>#DIV/0!</v>
      </c>
      <c r="L14" s="30"/>
      <c r="M14" s="64"/>
      <c r="N14" s="65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</row>
    <row r="15" spans="1:87" ht="15.75">
      <c r="A15" s="28" t="s">
        <v>228</v>
      </c>
      <c r="B15" s="29"/>
      <c r="C15" s="24"/>
      <c r="D15" s="29"/>
      <c r="E15" s="24"/>
      <c r="F15" s="24"/>
      <c r="G15" s="30">
        <v>4</v>
      </c>
      <c r="H15" s="24">
        <v>4.5</v>
      </c>
      <c r="I15" s="24"/>
      <c r="J15" s="30">
        <f t="shared" si="0"/>
        <v>112.5</v>
      </c>
      <c r="K15" s="63" t="e">
        <f t="shared" si="1"/>
        <v>#DIV/0!</v>
      </c>
      <c r="L15" s="30"/>
      <c r="M15" s="64"/>
      <c r="N15" s="65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</row>
    <row r="16" spans="1:87" ht="15.75">
      <c r="A16" s="28" t="s">
        <v>229</v>
      </c>
      <c r="B16" s="29">
        <v>900</v>
      </c>
      <c r="C16" s="24">
        <v>950</v>
      </c>
      <c r="D16" s="24"/>
      <c r="E16" s="24">
        <f t="shared" si="2"/>
        <v>105.55555555555556</v>
      </c>
      <c r="F16" s="24" t="e">
        <f t="shared" si="3"/>
        <v>#DIV/0!</v>
      </c>
      <c r="G16" s="30">
        <v>10</v>
      </c>
      <c r="H16" s="24">
        <v>9.6</v>
      </c>
      <c r="I16" s="24"/>
      <c r="J16" s="30">
        <f t="shared" si="0"/>
        <v>96</v>
      </c>
      <c r="K16" s="63" t="e">
        <f t="shared" si="1"/>
        <v>#DIV/0!</v>
      </c>
      <c r="L16" s="30"/>
      <c r="M16" s="64"/>
      <c r="N16" s="65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</row>
    <row r="17" spans="1:87" ht="15.75">
      <c r="A17" s="28" t="s">
        <v>230</v>
      </c>
      <c r="B17" s="29">
        <v>400</v>
      </c>
      <c r="C17" s="24">
        <v>390</v>
      </c>
      <c r="D17" s="24">
        <v>350</v>
      </c>
      <c r="E17" s="24"/>
      <c r="F17" s="24">
        <f t="shared" si="3"/>
        <v>111.42857142857143</v>
      </c>
      <c r="G17" s="30">
        <v>30.7</v>
      </c>
      <c r="H17" s="24">
        <v>8</v>
      </c>
      <c r="I17" s="24">
        <v>28.7</v>
      </c>
      <c r="J17" s="30">
        <f t="shared" si="0"/>
        <v>26.058631921824105</v>
      </c>
      <c r="K17" s="63">
        <f t="shared" si="1"/>
        <v>27.874564459930312</v>
      </c>
      <c r="L17" s="30"/>
      <c r="M17" s="64"/>
      <c r="N17" s="65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</row>
    <row r="18" spans="1:87" ht="15.75">
      <c r="A18" s="28" t="s">
        <v>231</v>
      </c>
      <c r="B18" s="24"/>
      <c r="C18" s="24"/>
      <c r="D18" s="24">
        <v>140</v>
      </c>
      <c r="E18" s="24" t="e">
        <f t="shared" si="2"/>
        <v>#DIV/0!</v>
      </c>
      <c r="F18" s="24">
        <f t="shared" si="3"/>
        <v>0</v>
      </c>
      <c r="G18" s="30">
        <v>5</v>
      </c>
      <c r="H18" s="24"/>
      <c r="I18" s="24"/>
      <c r="J18" s="30">
        <f t="shared" si="0"/>
        <v>0</v>
      </c>
      <c r="K18" s="63" t="e">
        <f t="shared" si="1"/>
        <v>#DIV/0!</v>
      </c>
      <c r="L18" s="30"/>
      <c r="M18" s="64"/>
      <c r="N18" s="65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</row>
    <row r="19" spans="1:87" ht="15.75">
      <c r="A19" s="28" t="s">
        <v>232</v>
      </c>
      <c r="B19" s="24">
        <v>50</v>
      </c>
      <c r="C19" s="24"/>
      <c r="D19" s="24"/>
      <c r="E19" s="24">
        <f t="shared" si="2"/>
        <v>0</v>
      </c>
      <c r="F19" s="24"/>
      <c r="G19" s="30">
        <v>5</v>
      </c>
      <c r="H19" s="24"/>
      <c r="I19" s="24"/>
      <c r="J19" s="30">
        <f t="shared" si="0"/>
        <v>0</v>
      </c>
      <c r="K19" s="63" t="e">
        <f t="shared" si="1"/>
        <v>#DIV/0!</v>
      </c>
      <c r="L19" s="30"/>
      <c r="M19" s="64"/>
      <c r="N19" s="65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</row>
    <row r="20" spans="1:87" ht="16.5" thickBot="1">
      <c r="A20" s="28" t="s">
        <v>233</v>
      </c>
      <c r="B20" s="24"/>
      <c r="C20" s="24"/>
      <c r="D20" s="29">
        <v>100</v>
      </c>
      <c r="E20" s="24"/>
      <c r="F20" s="24"/>
      <c r="G20" s="30">
        <v>150</v>
      </c>
      <c r="H20" s="24">
        <v>90</v>
      </c>
      <c r="I20" s="24">
        <v>60.5</v>
      </c>
      <c r="J20" s="31">
        <f t="shared" si="0"/>
        <v>60</v>
      </c>
      <c r="K20" s="66">
        <f t="shared" si="1"/>
        <v>148.7603305785124</v>
      </c>
      <c r="L20" s="67"/>
      <c r="M20" s="68"/>
      <c r="N20" s="69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</row>
    <row r="21" spans="1:87" ht="21" customHeight="1" thickBot="1">
      <c r="A21" s="32" t="s">
        <v>234</v>
      </c>
      <c r="B21" s="33">
        <f>SUM(B7:B20)</f>
        <v>5000</v>
      </c>
      <c r="C21" s="33">
        <f>SUM(C7:C20)</f>
        <v>5000</v>
      </c>
      <c r="D21" s="33">
        <f>SUM(D7:D20)</f>
        <v>3080</v>
      </c>
      <c r="E21" s="33">
        <f t="shared" si="2"/>
        <v>100</v>
      </c>
      <c r="F21" s="33">
        <f t="shared" si="3"/>
        <v>162.33766233766232</v>
      </c>
      <c r="G21" s="34">
        <f>SUM(G7:G20)</f>
        <v>276.7</v>
      </c>
      <c r="H21" s="33">
        <f>SUM(H7:H20)</f>
        <v>172</v>
      </c>
      <c r="I21" s="35">
        <f>SUM(I7:I20)</f>
        <v>155</v>
      </c>
      <c r="J21" s="36">
        <f t="shared" si="0"/>
        <v>62.161185399349485</v>
      </c>
      <c r="K21" s="70">
        <f t="shared" si="1"/>
        <v>110.96774193548387</v>
      </c>
      <c r="L21" s="37">
        <f>SUM(L7:L20)</f>
        <v>0</v>
      </c>
      <c r="M21" s="38">
        <f>SUM(M7:M20)</f>
        <v>0</v>
      </c>
      <c r="N21" s="39">
        <f>SUM(N7:N20)</f>
        <v>0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</row>
    <row r="22" spans="1:87" ht="16.5" thickBot="1">
      <c r="A22" s="40"/>
      <c r="B22" s="41"/>
      <c r="C22" s="71"/>
      <c r="D22" s="42" t="s">
        <v>209</v>
      </c>
      <c r="E22" s="42"/>
      <c r="F22" s="42"/>
      <c r="G22" s="41"/>
      <c r="H22" s="41"/>
      <c r="I22" s="41"/>
      <c r="J22" s="41"/>
      <c r="K22" s="41"/>
      <c r="L22" s="43"/>
      <c r="M22" s="44"/>
      <c r="N22" s="5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</row>
    <row r="23" spans="1:87" ht="16.5" thickBot="1">
      <c r="A23" s="7" t="s">
        <v>210</v>
      </c>
      <c r="B23" s="14" t="s">
        <v>211</v>
      </c>
      <c r="C23" s="15" t="s">
        <v>212</v>
      </c>
      <c r="D23" s="16"/>
      <c r="E23" s="15" t="s">
        <v>213</v>
      </c>
      <c r="F23" s="16"/>
      <c r="G23" s="45"/>
      <c r="H23" s="46" t="s">
        <v>238</v>
      </c>
      <c r="I23" s="46"/>
      <c r="J23" s="46"/>
      <c r="K23" s="46"/>
      <c r="L23" s="46"/>
      <c r="M23" s="10"/>
      <c r="N23" s="5"/>
    </row>
    <row r="24" spans="1:87" ht="15.75">
      <c r="A24" s="13"/>
      <c r="B24" s="18" t="s">
        <v>201</v>
      </c>
      <c r="C24" s="14" t="s">
        <v>214</v>
      </c>
      <c r="D24" s="14" t="s">
        <v>215</v>
      </c>
      <c r="E24" s="14" t="s">
        <v>216</v>
      </c>
      <c r="F24" s="19" t="s">
        <v>217</v>
      </c>
      <c r="G24" s="47" t="s">
        <v>202</v>
      </c>
      <c r="H24" s="47" t="s">
        <v>235</v>
      </c>
      <c r="I24" s="47" t="s">
        <v>236</v>
      </c>
      <c r="J24" s="47" t="s">
        <v>203</v>
      </c>
      <c r="K24" s="47" t="s">
        <v>204</v>
      </c>
      <c r="L24" s="47" t="s">
        <v>237</v>
      </c>
      <c r="M24" s="7" t="s">
        <v>200</v>
      </c>
      <c r="N24" s="5"/>
    </row>
    <row r="25" spans="1:87" ht="16.5" thickBot="1">
      <c r="A25" s="20"/>
      <c r="B25" s="21"/>
      <c r="C25" s="21"/>
      <c r="D25" s="21"/>
      <c r="E25" s="21" t="s">
        <v>218</v>
      </c>
      <c r="F25" s="22" t="s">
        <v>219</v>
      </c>
      <c r="G25" s="48"/>
      <c r="H25" s="48"/>
      <c r="I25" s="48"/>
      <c r="J25" s="48"/>
      <c r="K25" s="48" t="s">
        <v>205</v>
      </c>
      <c r="L25" s="48" t="s">
        <v>206</v>
      </c>
      <c r="M25" s="13"/>
      <c r="N25" s="5"/>
    </row>
    <row r="26" spans="1:87" ht="12" customHeight="1">
      <c r="A26" s="23" t="s">
        <v>220</v>
      </c>
      <c r="B26" s="55">
        <v>12.3</v>
      </c>
      <c r="C26" s="52">
        <v>2.4</v>
      </c>
      <c r="D26" s="55">
        <v>6</v>
      </c>
      <c r="E26" s="52">
        <f t="shared" ref="E26:E40" si="4">C26/B26*100</f>
        <v>19.512195121951219</v>
      </c>
      <c r="F26" s="72">
        <f>C26/D26*100</f>
        <v>40</v>
      </c>
      <c r="G26" s="73"/>
      <c r="H26" s="74"/>
      <c r="I26" s="74"/>
      <c r="J26" s="74"/>
      <c r="K26" s="74"/>
      <c r="L26" s="74"/>
      <c r="M26" s="75"/>
    </row>
    <row r="27" spans="1:87" ht="12" customHeight="1">
      <c r="A27" s="28" t="s">
        <v>221</v>
      </c>
      <c r="B27" s="52">
        <v>7</v>
      </c>
      <c r="C27" s="52">
        <v>2</v>
      </c>
      <c r="D27" s="52">
        <v>14.7</v>
      </c>
      <c r="E27" s="52">
        <f t="shared" si="4"/>
        <v>28.571428571428569</v>
      </c>
      <c r="F27" s="72">
        <f t="shared" ref="F27:F40" si="5">C27/D27*100</f>
        <v>13.605442176870749</v>
      </c>
      <c r="G27" s="76"/>
      <c r="H27" s="77"/>
      <c r="I27" s="77"/>
      <c r="J27" s="77"/>
      <c r="K27" s="77"/>
      <c r="L27" s="77"/>
      <c r="M27" s="78"/>
    </row>
    <row r="28" spans="1:87" ht="12" customHeight="1">
      <c r="A28" s="28" t="s">
        <v>222</v>
      </c>
      <c r="B28" s="52">
        <v>1.2</v>
      </c>
      <c r="C28" s="52">
        <v>1.3</v>
      </c>
      <c r="D28" s="52">
        <v>0.5</v>
      </c>
      <c r="E28" s="52">
        <f t="shared" si="4"/>
        <v>108.33333333333334</v>
      </c>
      <c r="F28" s="72">
        <f t="shared" si="5"/>
        <v>260</v>
      </c>
      <c r="G28" s="76"/>
      <c r="H28" s="77"/>
      <c r="I28" s="77"/>
      <c r="J28" s="77"/>
      <c r="K28" s="77"/>
      <c r="L28" s="77"/>
      <c r="M28" s="78"/>
    </row>
    <row r="29" spans="1:87" ht="12" customHeight="1">
      <c r="A29" s="28" t="s">
        <v>223</v>
      </c>
      <c r="B29" s="52">
        <v>3</v>
      </c>
      <c r="C29" s="52">
        <v>1</v>
      </c>
      <c r="D29" s="52">
        <v>1.8</v>
      </c>
      <c r="E29" s="52">
        <f t="shared" si="4"/>
        <v>33.333333333333329</v>
      </c>
      <c r="F29" s="72">
        <f t="shared" si="5"/>
        <v>55.555555555555557</v>
      </c>
      <c r="G29" s="76"/>
      <c r="H29" s="77"/>
      <c r="I29" s="77"/>
      <c r="J29" s="77"/>
      <c r="K29" s="77"/>
      <c r="L29" s="77"/>
      <c r="M29" s="78"/>
    </row>
    <row r="30" spans="1:87" ht="12" customHeight="1">
      <c r="A30" s="28" t="s">
        <v>224</v>
      </c>
      <c r="B30" s="52">
        <v>1.3</v>
      </c>
      <c r="C30" s="52">
        <v>0.8</v>
      </c>
      <c r="D30" s="52">
        <v>0.7</v>
      </c>
      <c r="E30" s="52">
        <f t="shared" si="4"/>
        <v>61.53846153846154</v>
      </c>
      <c r="F30" s="72">
        <f t="shared" si="5"/>
        <v>114.28571428571431</v>
      </c>
      <c r="G30" s="76"/>
      <c r="H30" s="77"/>
      <c r="I30" s="77"/>
      <c r="J30" s="77"/>
      <c r="K30" s="77"/>
      <c r="L30" s="77"/>
      <c r="M30" s="78"/>
    </row>
    <row r="31" spans="1:87" ht="12" customHeight="1">
      <c r="A31" s="28" t="s">
        <v>225</v>
      </c>
      <c r="B31" s="52">
        <v>0.3</v>
      </c>
      <c r="C31" s="52">
        <v>0.3</v>
      </c>
      <c r="D31" s="52"/>
      <c r="E31" s="52">
        <f t="shared" si="4"/>
        <v>100</v>
      </c>
      <c r="F31" s="72" t="e">
        <f t="shared" si="5"/>
        <v>#DIV/0!</v>
      </c>
      <c r="G31" s="76"/>
      <c r="H31" s="77"/>
      <c r="I31" s="77"/>
      <c r="J31" s="77"/>
      <c r="K31" s="77"/>
      <c r="L31" s="77"/>
      <c r="M31" s="78"/>
    </row>
    <row r="32" spans="1:87" ht="12" customHeight="1">
      <c r="A32" s="28" t="s">
        <v>226</v>
      </c>
      <c r="B32" s="52">
        <v>3.6</v>
      </c>
      <c r="C32" s="52">
        <v>3.4</v>
      </c>
      <c r="D32" s="52">
        <v>2</v>
      </c>
      <c r="E32" s="52">
        <f t="shared" si="4"/>
        <v>94.444444444444443</v>
      </c>
      <c r="F32" s="72">
        <f t="shared" si="5"/>
        <v>170</v>
      </c>
      <c r="G32" s="76"/>
      <c r="H32" s="77"/>
      <c r="I32" s="77"/>
      <c r="J32" s="77"/>
      <c r="K32" s="77"/>
      <c r="L32" s="77"/>
      <c r="M32" s="78"/>
    </row>
    <row r="33" spans="1:38" ht="12" customHeight="1">
      <c r="A33" s="28" t="s">
        <v>227</v>
      </c>
      <c r="B33" s="52">
        <v>2.8</v>
      </c>
      <c r="C33" s="52"/>
      <c r="D33" s="52"/>
      <c r="E33" s="52">
        <f t="shared" si="4"/>
        <v>0</v>
      </c>
      <c r="F33" s="72" t="e">
        <f t="shared" si="5"/>
        <v>#DIV/0!</v>
      </c>
      <c r="G33" s="76"/>
      <c r="H33" s="77"/>
      <c r="I33" s="77"/>
      <c r="J33" s="77"/>
      <c r="K33" s="77"/>
      <c r="L33" s="77"/>
      <c r="M33" s="78"/>
    </row>
    <row r="34" spans="1:38" ht="12" customHeight="1">
      <c r="A34" s="28" t="s">
        <v>228</v>
      </c>
      <c r="B34" s="52">
        <v>2</v>
      </c>
      <c r="C34" s="52">
        <v>1</v>
      </c>
      <c r="D34" s="52"/>
      <c r="E34" s="52">
        <f t="shared" si="4"/>
        <v>50</v>
      </c>
      <c r="F34" s="72" t="e">
        <f t="shared" si="5"/>
        <v>#DIV/0!</v>
      </c>
      <c r="G34" s="76"/>
      <c r="H34" s="77"/>
      <c r="I34" s="77"/>
      <c r="J34" s="77"/>
      <c r="K34" s="77"/>
      <c r="L34" s="77"/>
      <c r="M34" s="78"/>
    </row>
    <row r="35" spans="1:38" ht="12" customHeight="1">
      <c r="A35" s="28" t="s">
        <v>229</v>
      </c>
      <c r="B35" s="52">
        <v>2.2000000000000002</v>
      </c>
      <c r="C35" s="52">
        <v>1.9</v>
      </c>
      <c r="D35" s="52"/>
      <c r="E35" s="52">
        <f t="shared" si="4"/>
        <v>86.36363636363636</v>
      </c>
      <c r="F35" s="72" t="e">
        <f t="shared" si="5"/>
        <v>#DIV/0!</v>
      </c>
      <c r="G35" s="76"/>
      <c r="H35" s="77"/>
      <c r="I35" s="77"/>
      <c r="J35" s="77"/>
      <c r="K35" s="77"/>
      <c r="L35" s="77"/>
      <c r="M35" s="78"/>
    </row>
    <row r="36" spans="1:38" ht="12" customHeight="1">
      <c r="A36" s="28" t="s">
        <v>230</v>
      </c>
      <c r="B36" s="52">
        <v>21</v>
      </c>
      <c r="C36" s="52">
        <v>2.2000000000000002</v>
      </c>
      <c r="D36" s="52">
        <v>15.4</v>
      </c>
      <c r="E36" s="52">
        <f t="shared" si="4"/>
        <v>10.476190476190476</v>
      </c>
      <c r="F36" s="72">
        <f t="shared" si="5"/>
        <v>14.285714285714288</v>
      </c>
      <c r="G36" s="76"/>
      <c r="H36" s="77"/>
      <c r="I36" s="77"/>
      <c r="J36" s="77"/>
      <c r="K36" s="77"/>
      <c r="L36" s="77"/>
      <c r="M36" s="78"/>
    </row>
    <row r="37" spans="1:38" ht="12" customHeight="1">
      <c r="A37" s="28" t="s">
        <v>231</v>
      </c>
      <c r="B37" s="52">
        <v>2.2999999999999998</v>
      </c>
      <c r="C37" s="52"/>
      <c r="D37" s="52">
        <v>0.7</v>
      </c>
      <c r="E37" s="52">
        <f t="shared" si="4"/>
        <v>0</v>
      </c>
      <c r="F37" s="72">
        <f t="shared" si="5"/>
        <v>0</v>
      </c>
      <c r="G37" s="76"/>
      <c r="H37" s="77"/>
      <c r="I37" s="77"/>
      <c r="J37" s="77"/>
      <c r="K37" s="77"/>
      <c r="L37" s="77"/>
      <c r="M37" s="78"/>
    </row>
    <row r="38" spans="1:38" ht="12" customHeight="1">
      <c r="A38" s="28" t="s">
        <v>232</v>
      </c>
      <c r="B38" s="52">
        <v>1.5</v>
      </c>
      <c r="C38" s="52"/>
      <c r="D38" s="52"/>
      <c r="E38" s="52">
        <f t="shared" si="4"/>
        <v>0</v>
      </c>
      <c r="F38" s="72" t="e">
        <f t="shared" si="5"/>
        <v>#DIV/0!</v>
      </c>
      <c r="G38" s="76"/>
      <c r="H38" s="77"/>
      <c r="I38" s="77"/>
      <c r="J38" s="77"/>
      <c r="K38" s="77"/>
      <c r="L38" s="77"/>
      <c r="M38" s="78"/>
    </row>
    <row r="39" spans="1:38" ht="12" customHeight="1" thickBot="1">
      <c r="A39" s="28" t="s">
        <v>233</v>
      </c>
      <c r="B39" s="52">
        <v>41</v>
      </c>
      <c r="C39" s="52">
        <v>22.5</v>
      </c>
      <c r="D39" s="52">
        <v>55</v>
      </c>
      <c r="E39" s="52">
        <f t="shared" si="4"/>
        <v>54.878048780487809</v>
      </c>
      <c r="F39" s="72">
        <f t="shared" si="5"/>
        <v>40.909090909090914</v>
      </c>
      <c r="G39" s="79"/>
      <c r="H39" s="80"/>
      <c r="I39" s="80"/>
      <c r="J39" s="80"/>
      <c r="K39" s="80"/>
      <c r="L39" s="80"/>
      <c r="M39" s="81"/>
    </row>
    <row r="40" spans="1:38" ht="14.1" customHeight="1" thickBot="1">
      <c r="A40" s="49" t="s">
        <v>234</v>
      </c>
      <c r="B40" s="56">
        <f>SUM(B26:B39)</f>
        <v>101.5</v>
      </c>
      <c r="C40" s="56">
        <f>SUM(C26:C39)</f>
        <v>38.799999999999997</v>
      </c>
      <c r="D40" s="56">
        <f>SUM(D26:D39)</f>
        <v>96.800000000000011</v>
      </c>
      <c r="E40" s="56">
        <f t="shared" si="4"/>
        <v>38.226600985221673</v>
      </c>
      <c r="F40" s="82">
        <f t="shared" si="5"/>
        <v>40.082644628099168</v>
      </c>
      <c r="G40" s="56">
        <f t="shared" ref="G40:M40" si="6">SUM(G26:G39)</f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</row>
    <row r="41" spans="1:38">
      <c r="L41" s="50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</row>
    <row r="42" spans="1:38">
      <c r="L42" s="50"/>
    </row>
    <row r="43" spans="1:38">
      <c r="L43" s="50"/>
    </row>
    <row r="44" spans="1:38">
      <c r="L44" s="50"/>
    </row>
    <row r="45" spans="1:38">
      <c r="L45" s="50"/>
    </row>
    <row r="46" spans="1:38">
      <c r="L46" s="50"/>
    </row>
    <row r="47" spans="1:38">
      <c r="L47" s="50"/>
    </row>
    <row r="48" spans="1:38">
      <c r="L48" s="50"/>
    </row>
    <row r="49" spans="12:12">
      <c r="L49" s="50"/>
    </row>
    <row r="50" spans="12:12">
      <c r="L50" s="50"/>
    </row>
    <row r="51" spans="12:12">
      <c r="L51" s="50"/>
    </row>
    <row r="52" spans="12:12">
      <c r="L52" s="50"/>
    </row>
    <row r="53" spans="12:12">
      <c r="L53" s="50"/>
    </row>
    <row r="54" spans="12:12">
      <c r="L54" s="50"/>
    </row>
    <row r="55" spans="12:12">
      <c r="L55" s="50"/>
    </row>
    <row r="56" spans="12:12">
      <c r="L56" s="50"/>
    </row>
    <row r="57" spans="12:12">
      <c r="L57" s="50"/>
    </row>
    <row r="58" spans="12:12">
      <c r="L58" s="50"/>
    </row>
    <row r="59" spans="12:12">
      <c r="L59" s="50"/>
    </row>
    <row r="60" spans="12:12">
      <c r="L60" s="50"/>
    </row>
    <row r="61" spans="12:12">
      <c r="L61" s="50"/>
    </row>
    <row r="62" spans="12:12">
      <c r="L62" s="50"/>
    </row>
    <row r="63" spans="12:12">
      <c r="L63" s="50"/>
    </row>
    <row r="64" spans="12:12">
      <c r="L64" s="50"/>
    </row>
    <row r="65" spans="12:12">
      <c r="L65" s="50"/>
    </row>
    <row r="66" spans="12:12">
      <c r="L66" s="50"/>
    </row>
    <row r="67" spans="12:12">
      <c r="L67" s="50"/>
    </row>
    <row r="68" spans="12:12">
      <c r="L68" s="50"/>
    </row>
    <row r="69" spans="12:12">
      <c r="L69" s="50"/>
    </row>
    <row r="70" spans="12:12">
      <c r="L70" s="50"/>
    </row>
    <row r="71" spans="12:12">
      <c r="L71" s="50"/>
    </row>
    <row r="72" spans="12:12">
      <c r="L72" s="50"/>
    </row>
    <row r="73" spans="12:12">
      <c r="L73" s="50"/>
    </row>
    <row r="74" spans="12:12">
      <c r="L74" s="50"/>
    </row>
    <row r="75" spans="12:12">
      <c r="L75" s="50"/>
    </row>
  </sheetData>
  <phoneticPr fontId="2" type="noConversion"/>
  <printOptions horizontalCentered="1" verticalCentered="1"/>
  <pageMargins left="0.19685039370078741" right="0.19685039370078741" top="0.19685039370078741" bottom="0.19685039370078741" header="0" footer="0"/>
  <pageSetup paperSize="11" scale="65" orientation="landscape" horizontalDpi="120" verticalDpi="144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E72"/>
  <sheetViews>
    <sheetView workbookViewId="0">
      <selection activeCell="G39" sqref="G39"/>
    </sheetView>
  </sheetViews>
  <sheetFormatPr defaultRowHeight="12.75"/>
  <cols>
    <col min="1" max="1" width="0.5703125" customWidth="1"/>
    <col min="2" max="2" width="12.7109375" style="295" customWidth="1"/>
    <col min="3" max="3" width="14.28515625" customWidth="1"/>
    <col min="4" max="4" width="7.85546875" customWidth="1"/>
    <col min="5" max="5" width="7.5703125" customWidth="1"/>
    <col min="6" max="7" width="6.42578125" customWidth="1"/>
    <col min="11" max="11" width="6.5703125" customWidth="1"/>
  </cols>
  <sheetData>
    <row r="1" spans="2:31">
      <c r="B1" s="1514" t="s">
        <v>1391</v>
      </c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</row>
    <row r="2" spans="2:31">
      <c r="B2" s="304"/>
      <c r="C2" s="99"/>
      <c r="D2" s="99"/>
      <c r="E2" s="99"/>
      <c r="F2" s="99"/>
      <c r="G2" s="99"/>
      <c r="H2" s="99"/>
      <c r="I2" s="99"/>
      <c r="J2" s="99"/>
      <c r="K2" s="99"/>
      <c r="L2" s="99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</row>
    <row r="3" spans="2:31" ht="12.75" customHeight="1">
      <c r="B3" s="1564" t="s">
        <v>58</v>
      </c>
      <c r="C3" s="1564" t="s">
        <v>860</v>
      </c>
      <c r="D3" s="1561" t="s">
        <v>861</v>
      </c>
      <c r="E3" s="1564" t="s">
        <v>276</v>
      </c>
      <c r="F3" s="719" t="s">
        <v>862</v>
      </c>
      <c r="G3" s="877"/>
      <c r="H3" s="862"/>
      <c r="I3" s="1564" t="s">
        <v>276</v>
      </c>
      <c r="J3" s="1604" t="s">
        <v>863</v>
      </c>
      <c r="K3" s="1610"/>
      <c r="L3" s="1605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</row>
    <row r="4" spans="2:31">
      <c r="B4" s="1565"/>
      <c r="C4" s="1565"/>
      <c r="D4" s="1565"/>
      <c r="E4" s="1565"/>
      <c r="F4" s="1621" t="s">
        <v>864</v>
      </c>
      <c r="G4" s="1622"/>
      <c r="H4" s="1623"/>
      <c r="I4" s="1565"/>
      <c r="J4" s="1621" t="s">
        <v>864</v>
      </c>
      <c r="K4" s="1622"/>
      <c r="L4" s="1623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</row>
    <row r="5" spans="2:31" ht="16.5" customHeight="1">
      <c r="B5" s="1565"/>
      <c r="C5" s="1565"/>
      <c r="D5" s="1565"/>
      <c r="E5" s="1565"/>
      <c r="F5" s="1585" t="s">
        <v>1637</v>
      </c>
      <c r="G5" s="1588" t="s">
        <v>865</v>
      </c>
      <c r="H5" s="1564" t="s">
        <v>273</v>
      </c>
      <c r="I5" s="1565"/>
      <c r="J5" s="1585" t="s">
        <v>1637</v>
      </c>
      <c r="K5" s="1588" t="s">
        <v>865</v>
      </c>
      <c r="L5" s="1564" t="s">
        <v>273</v>
      </c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</row>
    <row r="6" spans="2:31" ht="51" customHeight="1">
      <c r="B6" s="1566"/>
      <c r="C6" s="1566"/>
      <c r="D6" s="1566"/>
      <c r="E6" s="1566"/>
      <c r="F6" s="1587"/>
      <c r="G6" s="1587"/>
      <c r="H6" s="1566"/>
      <c r="I6" s="1566"/>
      <c r="J6" s="1587"/>
      <c r="K6" s="1587"/>
      <c r="L6" s="1566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</row>
    <row r="7" spans="2:31">
      <c r="B7" s="1564" t="s">
        <v>1590</v>
      </c>
      <c r="C7" s="871" t="s">
        <v>866</v>
      </c>
      <c r="D7" s="871"/>
      <c r="E7" s="871">
        <v>11</v>
      </c>
      <c r="F7" s="705">
        <v>2</v>
      </c>
      <c r="G7" s="705"/>
      <c r="H7" s="705">
        <v>9</v>
      </c>
      <c r="I7" s="871">
        <v>11</v>
      </c>
      <c r="J7" s="705">
        <v>2</v>
      </c>
      <c r="K7" s="705"/>
      <c r="L7" s="705">
        <v>9</v>
      </c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</row>
    <row r="8" spans="2:31">
      <c r="B8" s="1565"/>
      <c r="C8" s="86" t="s">
        <v>867</v>
      </c>
      <c r="D8" s="86"/>
      <c r="E8" s="91">
        <v>4</v>
      </c>
      <c r="F8" s="86"/>
      <c r="G8" s="86">
        <v>4</v>
      </c>
      <c r="H8" s="86"/>
      <c r="I8" s="91">
        <v>4</v>
      </c>
      <c r="J8" s="86"/>
      <c r="K8" s="86">
        <v>4</v>
      </c>
      <c r="L8" s="86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</row>
    <row r="9" spans="2:31">
      <c r="B9" s="1565"/>
      <c r="C9" s="86" t="s">
        <v>868</v>
      </c>
      <c r="D9" s="86"/>
      <c r="E9" s="91">
        <v>4</v>
      </c>
      <c r="F9" s="86"/>
      <c r="G9" s="86">
        <v>4</v>
      </c>
      <c r="H9" s="86"/>
      <c r="I9" s="91">
        <v>4</v>
      </c>
      <c r="J9" s="86"/>
      <c r="K9" s="86">
        <v>4</v>
      </c>
      <c r="L9" s="86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</row>
    <row r="10" spans="2:31">
      <c r="B10" s="1566"/>
      <c r="C10" s="86" t="s">
        <v>869</v>
      </c>
      <c r="D10" s="86"/>
      <c r="E10" s="91"/>
      <c r="F10" s="86"/>
      <c r="G10" s="86"/>
      <c r="H10" s="86"/>
      <c r="I10" s="91"/>
      <c r="J10" s="86"/>
      <c r="K10" s="86"/>
      <c r="L10" s="86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</row>
    <row r="11" spans="2:31">
      <c r="B11" s="1564" t="s">
        <v>591</v>
      </c>
      <c r="C11" s="705" t="s">
        <v>866</v>
      </c>
      <c r="D11" s="705"/>
      <c r="E11" s="871">
        <v>25</v>
      </c>
      <c r="F11" s="705">
        <v>5</v>
      </c>
      <c r="G11" s="705">
        <v>3</v>
      </c>
      <c r="H11" s="705">
        <v>17</v>
      </c>
      <c r="I11" s="871">
        <v>25</v>
      </c>
      <c r="J11" s="705">
        <v>5</v>
      </c>
      <c r="K11" s="705">
        <v>3</v>
      </c>
      <c r="L11" s="705">
        <v>17</v>
      </c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</row>
    <row r="12" spans="2:31">
      <c r="B12" s="1565"/>
      <c r="C12" s="86" t="s">
        <v>867</v>
      </c>
      <c r="D12" s="91"/>
      <c r="E12" s="91"/>
      <c r="F12" s="86"/>
      <c r="G12" s="86"/>
      <c r="H12" s="91"/>
      <c r="I12" s="91"/>
      <c r="J12" s="86"/>
      <c r="K12" s="86"/>
      <c r="L12" s="86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</row>
    <row r="13" spans="2:31">
      <c r="B13" s="1565"/>
      <c r="C13" s="86" t="s">
        <v>868</v>
      </c>
      <c r="D13" s="91"/>
      <c r="E13" s="91"/>
      <c r="F13" s="86"/>
      <c r="G13" s="86"/>
      <c r="H13" s="91"/>
      <c r="I13" s="91"/>
      <c r="J13" s="86"/>
      <c r="K13" s="86"/>
      <c r="L13" s="86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</row>
    <row r="14" spans="2:31">
      <c r="B14" s="1566"/>
      <c r="C14" s="86" t="s">
        <v>870</v>
      </c>
      <c r="D14" s="86"/>
      <c r="E14" s="91"/>
      <c r="F14" s="86"/>
      <c r="G14" s="86"/>
      <c r="H14" s="86"/>
      <c r="I14" s="91"/>
      <c r="J14" s="86"/>
      <c r="K14" s="86"/>
      <c r="L14" s="86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</row>
    <row r="15" spans="2:31">
      <c r="B15" s="1564" t="s">
        <v>284</v>
      </c>
      <c r="C15" s="705" t="s">
        <v>866</v>
      </c>
      <c r="D15" s="705"/>
      <c r="E15" s="871">
        <v>4</v>
      </c>
      <c r="F15" s="705">
        <v>2</v>
      </c>
      <c r="G15" s="705">
        <v>2</v>
      </c>
      <c r="H15" s="705"/>
      <c r="I15" s="871">
        <v>4</v>
      </c>
      <c r="J15" s="705">
        <v>2</v>
      </c>
      <c r="K15" s="705">
        <v>2</v>
      </c>
      <c r="L15" s="705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</row>
    <row r="16" spans="2:31">
      <c r="B16" s="1565"/>
      <c r="C16" s="86" t="s">
        <v>867</v>
      </c>
      <c r="D16" s="86"/>
      <c r="E16" s="91">
        <v>43</v>
      </c>
      <c r="F16" s="86">
        <v>14</v>
      </c>
      <c r="G16" s="86">
        <v>23</v>
      </c>
      <c r="H16" s="86">
        <v>6</v>
      </c>
      <c r="I16" s="91">
        <v>43</v>
      </c>
      <c r="J16" s="86">
        <v>14</v>
      </c>
      <c r="K16" s="86">
        <v>23</v>
      </c>
      <c r="L16" s="86">
        <v>6</v>
      </c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</row>
    <row r="17" spans="2:31">
      <c r="B17" s="1565"/>
      <c r="C17" s="86" t="s">
        <v>868</v>
      </c>
      <c r="D17" s="86"/>
      <c r="E17" s="91">
        <v>35</v>
      </c>
      <c r="F17" s="86">
        <v>13</v>
      </c>
      <c r="G17" s="86">
        <v>22</v>
      </c>
      <c r="H17" s="86"/>
      <c r="I17" s="91">
        <v>35</v>
      </c>
      <c r="J17" s="86">
        <v>13</v>
      </c>
      <c r="K17" s="86">
        <v>22</v>
      </c>
      <c r="L17" s="86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</row>
    <row r="18" spans="2:31">
      <c r="B18" s="1566"/>
      <c r="C18" s="86" t="s">
        <v>870</v>
      </c>
      <c r="D18" s="86"/>
      <c r="E18" s="91"/>
      <c r="F18" s="86"/>
      <c r="G18" s="86"/>
      <c r="H18" s="86"/>
      <c r="I18" s="91"/>
      <c r="J18" s="86"/>
      <c r="K18" s="86"/>
      <c r="L18" s="86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</row>
    <row r="19" spans="2:31">
      <c r="B19" s="1564" t="s">
        <v>593</v>
      </c>
      <c r="C19" s="705" t="s">
        <v>866</v>
      </c>
      <c r="D19" s="705"/>
      <c r="E19" s="871">
        <v>11</v>
      </c>
      <c r="F19" s="705">
        <v>3</v>
      </c>
      <c r="G19" s="705">
        <v>1</v>
      </c>
      <c r="H19" s="705">
        <v>7</v>
      </c>
      <c r="I19" s="871"/>
      <c r="J19" s="705"/>
      <c r="K19" s="705"/>
      <c r="L19" s="705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</row>
    <row r="20" spans="2:31">
      <c r="B20" s="1565"/>
      <c r="C20" s="86" t="s">
        <v>867</v>
      </c>
      <c r="D20" s="86"/>
      <c r="E20" s="91"/>
      <c r="F20" s="86"/>
      <c r="G20" s="86"/>
      <c r="H20" s="86"/>
      <c r="I20" s="91"/>
      <c r="J20" s="86"/>
      <c r="K20" s="86"/>
      <c r="L20" s="86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2:31">
      <c r="B21" s="1565"/>
      <c r="C21" s="86" t="s">
        <v>868</v>
      </c>
      <c r="D21" s="86"/>
      <c r="E21" s="91"/>
      <c r="F21" s="86"/>
      <c r="G21" s="86"/>
      <c r="H21" s="86"/>
      <c r="I21" s="91"/>
      <c r="J21" s="86"/>
      <c r="K21" s="86"/>
      <c r="L21" s="86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2:31">
      <c r="B22" s="1566"/>
      <c r="C22" s="86" t="s">
        <v>870</v>
      </c>
      <c r="D22" s="86"/>
      <c r="E22" s="91"/>
      <c r="F22" s="86"/>
      <c r="G22" s="86"/>
      <c r="H22" s="86"/>
      <c r="I22" s="91"/>
      <c r="J22" s="86"/>
      <c r="K22" s="86"/>
      <c r="L22" s="86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</row>
    <row r="23" spans="2:31">
      <c r="B23" s="1564" t="s">
        <v>286</v>
      </c>
      <c r="C23" s="705" t="s">
        <v>866</v>
      </c>
      <c r="D23" s="705"/>
      <c r="E23" s="871">
        <v>38</v>
      </c>
      <c r="F23" s="705">
        <v>2</v>
      </c>
      <c r="G23" s="705">
        <v>7</v>
      </c>
      <c r="H23" s="705">
        <v>29</v>
      </c>
      <c r="I23" s="871">
        <v>38</v>
      </c>
      <c r="J23" s="705">
        <v>2</v>
      </c>
      <c r="K23" s="705">
        <v>7</v>
      </c>
      <c r="L23" s="705">
        <v>29</v>
      </c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</row>
    <row r="24" spans="2:31">
      <c r="B24" s="1565"/>
      <c r="C24" s="86" t="s">
        <v>867</v>
      </c>
      <c r="D24" s="86"/>
      <c r="E24" s="91">
        <v>36</v>
      </c>
      <c r="F24" s="86">
        <v>1</v>
      </c>
      <c r="G24" s="86">
        <v>35</v>
      </c>
      <c r="H24" s="86"/>
      <c r="I24" s="91">
        <v>36</v>
      </c>
      <c r="J24" s="86">
        <v>1</v>
      </c>
      <c r="K24" s="86">
        <v>35</v>
      </c>
      <c r="L24" s="86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</row>
    <row r="25" spans="2:31">
      <c r="B25" s="1566"/>
      <c r="C25" s="86" t="s">
        <v>870</v>
      </c>
      <c r="D25" s="700"/>
      <c r="E25" s="872">
        <v>147</v>
      </c>
      <c r="F25" s="700"/>
      <c r="G25" s="700"/>
      <c r="H25" s="700"/>
      <c r="I25" s="872">
        <v>147</v>
      </c>
      <c r="J25" s="86"/>
      <c r="K25" s="86"/>
      <c r="L25" s="86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</row>
    <row r="26" spans="2:31">
      <c r="B26" s="1564" t="s">
        <v>597</v>
      </c>
      <c r="C26" s="705" t="s">
        <v>866</v>
      </c>
      <c r="D26" s="705"/>
      <c r="E26" s="871">
        <v>7</v>
      </c>
      <c r="F26" s="705">
        <v>5</v>
      </c>
      <c r="G26" s="705">
        <v>2</v>
      </c>
      <c r="H26" s="705"/>
      <c r="I26" s="871">
        <v>7</v>
      </c>
      <c r="J26" s="705">
        <v>5</v>
      </c>
      <c r="K26" s="705">
        <v>2</v>
      </c>
      <c r="L26" s="705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</row>
    <row r="27" spans="2:31">
      <c r="B27" s="1565"/>
      <c r="C27" s="86" t="s">
        <v>867</v>
      </c>
      <c r="D27" s="86"/>
      <c r="E27" s="91">
        <v>13</v>
      </c>
      <c r="F27" s="86">
        <v>12</v>
      </c>
      <c r="G27" s="86">
        <v>1</v>
      </c>
      <c r="H27" s="86"/>
      <c r="I27" s="91">
        <v>13</v>
      </c>
      <c r="J27" s="86">
        <v>12</v>
      </c>
      <c r="K27" s="86">
        <v>1</v>
      </c>
      <c r="L27" s="86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</row>
    <row r="28" spans="2:31">
      <c r="B28" s="1565"/>
      <c r="C28" s="86" t="s">
        <v>868</v>
      </c>
      <c r="D28" s="86"/>
      <c r="E28" s="91">
        <v>10</v>
      </c>
      <c r="F28" s="86">
        <v>6</v>
      </c>
      <c r="G28" s="86">
        <v>4</v>
      </c>
      <c r="H28" s="86"/>
      <c r="I28" s="91">
        <v>10</v>
      </c>
      <c r="J28" s="86">
        <v>6</v>
      </c>
      <c r="K28" s="86">
        <v>4</v>
      </c>
      <c r="L28" s="86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</row>
    <row r="29" spans="2:31">
      <c r="B29" s="1566"/>
      <c r="C29" s="86" t="s">
        <v>870</v>
      </c>
      <c r="D29" s="86"/>
      <c r="E29" s="91"/>
      <c r="F29" s="86"/>
      <c r="G29" s="86"/>
      <c r="H29" s="86"/>
      <c r="I29" s="91"/>
      <c r="J29" s="86"/>
      <c r="K29" s="86"/>
      <c r="L29" s="86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</row>
    <row r="30" spans="2:31">
      <c r="B30" s="1564" t="s">
        <v>598</v>
      </c>
      <c r="C30" s="705" t="s">
        <v>866</v>
      </c>
      <c r="D30" s="705"/>
      <c r="E30" s="871"/>
      <c r="F30" s="705"/>
      <c r="G30" s="705"/>
      <c r="H30" s="705"/>
      <c r="I30" s="871"/>
      <c r="J30" s="705"/>
      <c r="K30" s="705"/>
      <c r="L30" s="705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</row>
    <row r="31" spans="2:31">
      <c r="B31" s="1565"/>
      <c r="C31" s="86" t="s">
        <v>867</v>
      </c>
      <c r="D31" s="86"/>
      <c r="E31" s="91">
        <v>16</v>
      </c>
      <c r="F31" s="86">
        <v>13</v>
      </c>
      <c r="G31" s="86">
        <v>3</v>
      </c>
      <c r="H31" s="86"/>
      <c r="I31" s="91">
        <v>16</v>
      </c>
      <c r="J31" s="86">
        <v>13</v>
      </c>
      <c r="K31" s="86">
        <v>3</v>
      </c>
      <c r="L31" s="86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</row>
    <row r="32" spans="2:31">
      <c r="B32" s="1565"/>
      <c r="C32" s="86" t="s">
        <v>868</v>
      </c>
      <c r="D32" s="86"/>
      <c r="E32" s="91">
        <v>16</v>
      </c>
      <c r="F32" s="86">
        <v>13</v>
      </c>
      <c r="G32" s="86">
        <v>3</v>
      </c>
      <c r="H32" s="86"/>
      <c r="I32" s="91">
        <v>16</v>
      </c>
      <c r="J32" s="86">
        <v>13</v>
      </c>
      <c r="K32" s="86">
        <v>3</v>
      </c>
      <c r="L32" s="86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</row>
    <row r="33" spans="2:31">
      <c r="B33" s="1566"/>
      <c r="C33" s="86" t="s">
        <v>870</v>
      </c>
      <c r="D33" s="86"/>
      <c r="E33" s="91"/>
      <c r="F33" s="86"/>
      <c r="G33" s="86"/>
      <c r="H33" s="86"/>
      <c r="I33" s="91"/>
      <c r="J33" s="86"/>
      <c r="K33" s="86"/>
      <c r="L33" s="86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</row>
    <row r="34" spans="2:31">
      <c r="B34" s="1564" t="s">
        <v>596</v>
      </c>
      <c r="C34" s="705" t="s">
        <v>866</v>
      </c>
      <c r="D34" s="705"/>
      <c r="E34" s="871">
        <v>13</v>
      </c>
      <c r="F34" s="705">
        <v>5</v>
      </c>
      <c r="G34" s="705">
        <v>1</v>
      </c>
      <c r="H34" s="705">
        <v>7</v>
      </c>
      <c r="I34" s="871">
        <v>13</v>
      </c>
      <c r="J34" s="705">
        <v>5</v>
      </c>
      <c r="K34" s="705">
        <v>1</v>
      </c>
      <c r="L34" s="705">
        <v>7</v>
      </c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</row>
    <row r="35" spans="2:31">
      <c r="B35" s="1565"/>
      <c r="C35" s="86" t="s">
        <v>867</v>
      </c>
      <c r="D35" s="86"/>
      <c r="E35" s="91">
        <v>24</v>
      </c>
      <c r="F35" s="86">
        <v>19</v>
      </c>
      <c r="G35" s="86">
        <v>3</v>
      </c>
      <c r="H35" s="86">
        <v>2</v>
      </c>
      <c r="I35" s="91">
        <v>24</v>
      </c>
      <c r="J35" s="86">
        <v>19</v>
      </c>
      <c r="K35" s="86">
        <v>3</v>
      </c>
      <c r="L35" s="86">
        <v>2</v>
      </c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</row>
    <row r="36" spans="2:31">
      <c r="B36" s="1565"/>
      <c r="C36" s="86" t="s">
        <v>868</v>
      </c>
      <c r="D36" s="86"/>
      <c r="E36" s="91">
        <v>22</v>
      </c>
      <c r="F36" s="86">
        <v>19</v>
      </c>
      <c r="G36" s="86">
        <v>3</v>
      </c>
      <c r="H36" s="86"/>
      <c r="I36" s="91">
        <v>22</v>
      </c>
      <c r="J36" s="86">
        <v>19</v>
      </c>
      <c r="K36" s="86">
        <v>3</v>
      </c>
      <c r="L36" s="86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</row>
    <row r="37" spans="2:31">
      <c r="B37" s="1566"/>
      <c r="C37" s="86" t="s">
        <v>870</v>
      </c>
      <c r="D37" s="86"/>
      <c r="E37" s="91"/>
      <c r="F37" s="86"/>
      <c r="G37" s="86"/>
      <c r="H37" s="86"/>
      <c r="I37" s="91"/>
      <c r="J37" s="86"/>
      <c r="K37" s="86"/>
      <c r="L37" s="86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</row>
    <row r="38" spans="2:31">
      <c r="B38" s="1565" t="s">
        <v>594</v>
      </c>
      <c r="C38" s="705" t="s">
        <v>866</v>
      </c>
      <c r="D38" s="705"/>
      <c r="E38" s="871">
        <v>21</v>
      </c>
      <c r="F38" s="705">
        <v>9</v>
      </c>
      <c r="G38" s="705">
        <v>2</v>
      </c>
      <c r="H38" s="705">
        <v>10</v>
      </c>
      <c r="I38" s="871">
        <v>21</v>
      </c>
      <c r="J38" s="705">
        <v>9</v>
      </c>
      <c r="K38" s="705">
        <v>2</v>
      </c>
      <c r="L38" s="705">
        <v>10</v>
      </c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</row>
    <row r="39" spans="2:31">
      <c r="B39" s="1565"/>
      <c r="C39" s="86" t="s">
        <v>867</v>
      </c>
      <c r="D39" s="86"/>
      <c r="E39" s="91">
        <v>20</v>
      </c>
      <c r="F39" s="86">
        <v>9</v>
      </c>
      <c r="G39" s="86">
        <v>9</v>
      </c>
      <c r="H39" s="86">
        <v>2</v>
      </c>
      <c r="I39" s="91">
        <v>20</v>
      </c>
      <c r="J39" s="86">
        <v>9</v>
      </c>
      <c r="K39" s="86">
        <v>9</v>
      </c>
      <c r="L39" s="86">
        <v>2</v>
      </c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</row>
    <row r="40" spans="2:31">
      <c r="B40" s="1565"/>
      <c r="C40" s="86" t="s">
        <v>868</v>
      </c>
      <c r="D40" s="86"/>
      <c r="E40" s="91">
        <v>18</v>
      </c>
      <c r="F40" s="86">
        <v>9</v>
      </c>
      <c r="G40" s="86">
        <v>9</v>
      </c>
      <c r="H40" s="86"/>
      <c r="I40" s="91">
        <v>18</v>
      </c>
      <c r="J40" s="86">
        <v>9</v>
      </c>
      <c r="K40" s="86">
        <v>9</v>
      </c>
      <c r="L40" s="86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</row>
    <row r="41" spans="2:31">
      <c r="B41" s="1564" t="s">
        <v>632</v>
      </c>
      <c r="C41" s="705" t="s">
        <v>866</v>
      </c>
      <c r="D41" s="705"/>
      <c r="E41" s="871">
        <v>17</v>
      </c>
      <c r="F41" s="705">
        <v>13</v>
      </c>
      <c r="G41" s="705">
        <v>3</v>
      </c>
      <c r="H41" s="705">
        <v>1</v>
      </c>
      <c r="I41" s="871">
        <v>12</v>
      </c>
      <c r="J41" s="705">
        <v>9</v>
      </c>
      <c r="K41" s="705">
        <v>3</v>
      </c>
      <c r="L41" s="705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</row>
    <row r="42" spans="2:31">
      <c r="B42" s="1565"/>
      <c r="C42" s="86" t="s">
        <v>867</v>
      </c>
      <c r="D42" s="86"/>
      <c r="E42" s="91">
        <v>120</v>
      </c>
      <c r="F42" s="86">
        <v>106</v>
      </c>
      <c r="G42" s="86">
        <v>13</v>
      </c>
      <c r="H42" s="86">
        <v>1</v>
      </c>
      <c r="I42" s="91">
        <v>120</v>
      </c>
      <c r="J42" s="86">
        <v>106</v>
      </c>
      <c r="K42" s="86">
        <v>13</v>
      </c>
      <c r="L42" s="86">
        <v>1</v>
      </c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</row>
    <row r="43" spans="2:31">
      <c r="B43" s="1565"/>
      <c r="C43" s="86" t="s">
        <v>868</v>
      </c>
      <c r="D43" s="86"/>
      <c r="E43" s="91">
        <v>100</v>
      </c>
      <c r="F43" s="86">
        <v>89</v>
      </c>
      <c r="G43" s="86">
        <v>10</v>
      </c>
      <c r="H43" s="86">
        <v>1</v>
      </c>
      <c r="I43" s="91">
        <v>100</v>
      </c>
      <c r="J43" s="86">
        <v>89</v>
      </c>
      <c r="K43" s="86">
        <v>10</v>
      </c>
      <c r="L43" s="86">
        <v>1</v>
      </c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</row>
    <row r="44" spans="2:31">
      <c r="B44" s="1564" t="s">
        <v>290</v>
      </c>
      <c r="C44" s="705" t="s">
        <v>866</v>
      </c>
      <c r="D44" s="705"/>
      <c r="E44" s="871">
        <v>35</v>
      </c>
      <c r="F44" s="705">
        <v>19</v>
      </c>
      <c r="G44" s="705">
        <v>5</v>
      </c>
      <c r="H44" s="705">
        <v>11</v>
      </c>
      <c r="I44" s="871">
        <v>35</v>
      </c>
      <c r="J44" s="705">
        <v>19</v>
      </c>
      <c r="K44" s="705">
        <v>5</v>
      </c>
      <c r="L44" s="705">
        <v>11</v>
      </c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</row>
    <row r="45" spans="2:31">
      <c r="B45" s="1565"/>
      <c r="C45" s="86" t="s">
        <v>867</v>
      </c>
      <c r="D45" s="86"/>
      <c r="E45" s="91">
        <v>196</v>
      </c>
      <c r="F45" s="86">
        <v>168</v>
      </c>
      <c r="G45" s="86">
        <v>27</v>
      </c>
      <c r="H45" s="86">
        <v>1</v>
      </c>
      <c r="I45" s="91">
        <v>196</v>
      </c>
      <c r="J45" s="86">
        <v>168</v>
      </c>
      <c r="K45" s="86">
        <v>27</v>
      </c>
      <c r="L45" s="86">
        <v>1</v>
      </c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</row>
    <row r="46" spans="2:31">
      <c r="B46" s="1565"/>
      <c r="C46" s="86" t="s">
        <v>868</v>
      </c>
      <c r="D46" s="86"/>
      <c r="E46" s="91">
        <v>194</v>
      </c>
      <c r="F46" s="86">
        <v>167</v>
      </c>
      <c r="G46" s="86">
        <v>27</v>
      </c>
      <c r="H46" s="86"/>
      <c r="I46" s="91">
        <v>194</v>
      </c>
      <c r="J46" s="86">
        <v>167</v>
      </c>
      <c r="K46" s="86">
        <v>27</v>
      </c>
      <c r="L46" s="86"/>
    </row>
    <row r="47" spans="2:31">
      <c r="B47" s="1566"/>
      <c r="C47" s="86" t="s">
        <v>870</v>
      </c>
      <c r="D47" s="86"/>
      <c r="E47" s="91">
        <v>5</v>
      </c>
      <c r="F47" s="86"/>
      <c r="G47" s="86"/>
      <c r="H47" s="86"/>
      <c r="I47" s="91">
        <v>5</v>
      </c>
      <c r="J47" s="86"/>
      <c r="K47" s="86"/>
      <c r="L47" s="86"/>
    </row>
    <row r="48" spans="2:31">
      <c r="B48" s="1564" t="s">
        <v>293</v>
      </c>
      <c r="C48" s="705" t="s">
        <v>866</v>
      </c>
      <c r="D48" s="705"/>
      <c r="E48" s="871">
        <v>169</v>
      </c>
      <c r="F48" s="705">
        <v>90</v>
      </c>
      <c r="G48" s="705">
        <v>21</v>
      </c>
      <c r="H48" s="705">
        <v>58</v>
      </c>
      <c r="I48" s="871">
        <v>143</v>
      </c>
      <c r="J48" s="705">
        <v>82</v>
      </c>
      <c r="K48" s="705">
        <v>19</v>
      </c>
      <c r="L48" s="705">
        <v>42</v>
      </c>
    </row>
    <row r="49" spans="2:12">
      <c r="B49" s="1565"/>
      <c r="C49" s="86" t="s">
        <v>867</v>
      </c>
      <c r="D49" s="86"/>
      <c r="E49" s="91">
        <v>913</v>
      </c>
      <c r="F49" s="86">
        <v>672</v>
      </c>
      <c r="G49" s="86">
        <v>214</v>
      </c>
      <c r="H49" s="86">
        <v>27</v>
      </c>
      <c r="I49" s="91">
        <v>904</v>
      </c>
      <c r="J49" s="86">
        <v>665</v>
      </c>
      <c r="K49" s="86">
        <v>213</v>
      </c>
      <c r="L49" s="86">
        <v>26</v>
      </c>
    </row>
    <row r="50" spans="2:12">
      <c r="B50" s="1565"/>
      <c r="C50" s="86" t="s">
        <v>868</v>
      </c>
      <c r="D50" s="86"/>
      <c r="E50" s="91">
        <v>774</v>
      </c>
      <c r="F50" s="86">
        <v>589</v>
      </c>
      <c r="G50" s="86">
        <v>158</v>
      </c>
      <c r="H50" s="86">
        <v>27</v>
      </c>
      <c r="I50" s="91">
        <v>765</v>
      </c>
      <c r="J50" s="86">
        <v>582</v>
      </c>
      <c r="K50" s="86">
        <v>157</v>
      </c>
      <c r="L50" s="86">
        <v>26</v>
      </c>
    </row>
    <row r="51" spans="2:12">
      <c r="B51" s="1565"/>
      <c r="C51" s="86" t="s">
        <v>869</v>
      </c>
      <c r="D51" s="86"/>
      <c r="E51" s="91">
        <v>5</v>
      </c>
      <c r="F51" s="86">
        <v>3</v>
      </c>
      <c r="G51" s="86">
        <v>2</v>
      </c>
      <c r="H51" s="91"/>
      <c r="I51" s="91"/>
      <c r="J51" s="86"/>
      <c r="K51" s="86"/>
      <c r="L51" s="86"/>
    </row>
    <row r="52" spans="2:12">
      <c r="B52" s="1564" t="s">
        <v>296</v>
      </c>
      <c r="C52" s="86" t="s">
        <v>866</v>
      </c>
      <c r="D52" s="747"/>
      <c r="E52" s="747">
        <v>351</v>
      </c>
      <c r="F52" s="747">
        <v>155</v>
      </c>
      <c r="G52" s="747">
        <v>47</v>
      </c>
      <c r="H52" s="747">
        <v>149</v>
      </c>
      <c r="I52" s="747">
        <v>309</v>
      </c>
      <c r="J52" s="747">
        <v>140</v>
      </c>
      <c r="K52" s="747">
        <v>44</v>
      </c>
      <c r="L52" s="747">
        <v>125</v>
      </c>
    </row>
    <row r="53" spans="2:12">
      <c r="B53" s="1565"/>
      <c r="C53" s="86" t="s">
        <v>867</v>
      </c>
      <c r="D53" s="747"/>
      <c r="E53" s="747">
        <v>1385</v>
      </c>
      <c r="F53" s="747">
        <v>1014</v>
      </c>
      <c r="G53" s="747">
        <v>332</v>
      </c>
      <c r="H53" s="747">
        <v>39</v>
      </c>
      <c r="I53" s="747">
        <v>1376</v>
      </c>
      <c r="J53" s="747">
        <v>1007</v>
      </c>
      <c r="K53" s="747">
        <v>331</v>
      </c>
      <c r="L53" s="747">
        <v>38</v>
      </c>
    </row>
    <row r="54" spans="2:12">
      <c r="B54" s="1565"/>
      <c r="C54" s="86" t="s">
        <v>868</v>
      </c>
      <c r="D54" s="747"/>
      <c r="E54" s="747">
        <v>1173</v>
      </c>
      <c r="F54" s="747">
        <v>905</v>
      </c>
      <c r="G54" s="747">
        <v>240</v>
      </c>
      <c r="H54" s="747">
        <v>28</v>
      </c>
      <c r="I54" s="747">
        <v>1164</v>
      </c>
      <c r="J54" s="747">
        <v>898</v>
      </c>
      <c r="K54" s="747">
        <v>239</v>
      </c>
      <c r="L54" s="747">
        <v>27</v>
      </c>
    </row>
    <row r="55" spans="2:12">
      <c r="B55" s="1565"/>
      <c r="C55" s="86" t="s">
        <v>869</v>
      </c>
      <c r="D55" s="747"/>
      <c r="E55" s="747">
        <v>5</v>
      </c>
      <c r="F55" s="747">
        <v>3</v>
      </c>
      <c r="G55" s="747">
        <v>2</v>
      </c>
      <c r="H55" s="747">
        <f>SUM(H10+H14+H18+H25+H29+H33+H47+H51)</f>
        <v>0</v>
      </c>
      <c r="I55" s="747">
        <v>5</v>
      </c>
      <c r="J55" s="747">
        <v>3</v>
      </c>
      <c r="K55" s="747">
        <v>2</v>
      </c>
      <c r="L55" s="747">
        <f>SUM(L10+L14+L18+L25+L29+L33+L47+L51)</f>
        <v>0</v>
      </c>
    </row>
    <row r="56" spans="2:12">
      <c r="B56" s="1566"/>
      <c r="C56" s="86" t="s">
        <v>870</v>
      </c>
      <c r="D56" s="747"/>
      <c r="E56" s="747">
        <v>159</v>
      </c>
      <c r="F56" s="747"/>
      <c r="G56" s="747"/>
      <c r="H56" s="747"/>
      <c r="I56" s="747">
        <v>159</v>
      </c>
      <c r="J56" s="747"/>
      <c r="K56" s="747"/>
      <c r="L56" s="747"/>
    </row>
    <row r="57" spans="2:12">
      <c r="B57" s="1564" t="s">
        <v>1208</v>
      </c>
      <c r="C57" s="86" t="s">
        <v>866</v>
      </c>
      <c r="D57" s="86">
        <v>37</v>
      </c>
      <c r="E57" s="86">
        <v>222</v>
      </c>
      <c r="F57" s="86">
        <v>63</v>
      </c>
      <c r="G57" s="86">
        <v>17</v>
      </c>
      <c r="H57" s="86">
        <v>142</v>
      </c>
      <c r="I57" s="86">
        <v>205</v>
      </c>
      <c r="J57" s="86">
        <v>59</v>
      </c>
      <c r="K57" s="86">
        <v>15</v>
      </c>
      <c r="L57" s="86">
        <v>131</v>
      </c>
    </row>
    <row r="58" spans="2:12">
      <c r="B58" s="1565"/>
      <c r="C58" s="86" t="s">
        <v>867</v>
      </c>
      <c r="D58" s="86">
        <v>61</v>
      </c>
      <c r="E58" s="86">
        <v>2045</v>
      </c>
      <c r="F58" s="86">
        <v>1470</v>
      </c>
      <c r="G58" s="86">
        <v>277</v>
      </c>
      <c r="H58" s="86">
        <v>298</v>
      </c>
      <c r="I58" s="86">
        <v>2045</v>
      </c>
      <c r="J58" s="86">
        <v>1470</v>
      </c>
      <c r="K58" s="86">
        <v>277</v>
      </c>
      <c r="L58" s="86">
        <v>298</v>
      </c>
    </row>
    <row r="59" spans="2:12">
      <c r="B59" s="1565"/>
      <c r="C59" s="86" t="s">
        <v>868</v>
      </c>
      <c r="D59" s="86">
        <v>60</v>
      </c>
      <c r="E59" s="86">
        <v>2022</v>
      </c>
      <c r="F59" s="86">
        <v>1436</v>
      </c>
      <c r="G59" s="86">
        <v>267</v>
      </c>
      <c r="H59" s="86">
        <v>289</v>
      </c>
      <c r="I59" s="86">
        <v>1992</v>
      </c>
      <c r="J59" s="86">
        <v>1436</v>
      </c>
      <c r="K59" s="86">
        <v>267</v>
      </c>
      <c r="L59" s="86">
        <v>289</v>
      </c>
    </row>
    <row r="60" spans="2:12">
      <c r="B60" s="1565"/>
      <c r="C60" s="86" t="s">
        <v>869</v>
      </c>
      <c r="D60" s="86">
        <v>13</v>
      </c>
      <c r="E60" s="86">
        <v>245</v>
      </c>
      <c r="F60" s="86">
        <v>5</v>
      </c>
      <c r="G60" s="86">
        <v>6</v>
      </c>
      <c r="H60" s="86">
        <v>2</v>
      </c>
      <c r="I60" s="86">
        <v>89</v>
      </c>
      <c r="J60" s="86">
        <v>5</v>
      </c>
      <c r="K60" s="86">
        <v>6</v>
      </c>
      <c r="L60" s="86">
        <v>0</v>
      </c>
    </row>
    <row r="61" spans="2:12">
      <c r="B61" s="1566"/>
      <c r="C61" s="86" t="s">
        <v>870</v>
      </c>
      <c r="D61" s="707">
        <v>29</v>
      </c>
      <c r="E61" s="707">
        <v>176</v>
      </c>
      <c r="F61" s="707">
        <v>55</v>
      </c>
      <c r="G61" s="707">
        <v>14</v>
      </c>
      <c r="H61" s="707">
        <v>107</v>
      </c>
      <c r="I61" s="707">
        <v>160</v>
      </c>
      <c r="J61" s="707">
        <v>52</v>
      </c>
      <c r="K61" s="707">
        <v>12</v>
      </c>
      <c r="L61" s="707">
        <v>96</v>
      </c>
    </row>
    <row r="62" spans="2:12">
      <c r="B62" s="1624">
        <v>42</v>
      </c>
      <c r="C62" s="1624"/>
      <c r="D62" s="1624"/>
      <c r="E62" s="1624"/>
      <c r="F62" s="1624"/>
      <c r="G62" s="1624"/>
      <c r="H62" s="1624"/>
      <c r="I62" s="1624"/>
      <c r="J62" s="1624"/>
      <c r="K62" s="1624"/>
      <c r="L62" s="1624"/>
    </row>
    <row r="63" spans="2:12">
      <c r="B63" s="294"/>
      <c r="C63" s="88"/>
      <c r="D63" s="93"/>
      <c r="E63" s="93"/>
      <c r="F63" s="93"/>
      <c r="G63" s="93"/>
      <c r="H63" s="93"/>
      <c r="I63" s="93"/>
      <c r="J63" s="93"/>
      <c r="K63" s="93"/>
      <c r="L63" s="93"/>
    </row>
    <row r="64" spans="2:12">
      <c r="B64" s="294"/>
      <c r="C64" s="88"/>
      <c r="D64" s="93"/>
      <c r="E64" s="93"/>
      <c r="F64" s="93"/>
      <c r="G64" s="93"/>
      <c r="H64" s="93"/>
      <c r="I64" s="93"/>
      <c r="J64" s="93"/>
      <c r="K64" s="93"/>
      <c r="L64" s="93"/>
    </row>
    <row r="65" spans="2:12">
      <c r="B65" s="294"/>
      <c r="C65" s="88"/>
      <c r="D65" s="93"/>
      <c r="E65" s="93"/>
      <c r="F65" s="93"/>
      <c r="G65" s="93"/>
      <c r="H65" s="93"/>
      <c r="I65" s="93"/>
      <c r="J65" s="93"/>
      <c r="K65" s="93"/>
      <c r="L65" s="93"/>
    </row>
    <row r="66" spans="2:12">
      <c r="B66" s="294"/>
      <c r="C66" s="88"/>
      <c r="D66" s="93"/>
      <c r="E66" s="93"/>
      <c r="F66" s="93"/>
      <c r="G66" s="93"/>
      <c r="H66" s="93"/>
      <c r="I66" s="93"/>
      <c r="J66" s="93"/>
      <c r="K66" s="93"/>
      <c r="L66" s="93"/>
    </row>
    <row r="67" spans="2:12">
      <c r="B67" s="294"/>
      <c r="C67" s="88"/>
      <c r="D67" s="93"/>
      <c r="E67" s="93"/>
      <c r="F67" s="93"/>
      <c r="G67" s="93"/>
      <c r="H67" s="93"/>
      <c r="I67" s="93"/>
      <c r="J67" s="93"/>
      <c r="K67" s="93"/>
      <c r="L67" s="93"/>
    </row>
    <row r="70" spans="2:12">
      <c r="B70" s="1462"/>
      <c r="C70" s="1462"/>
      <c r="D70" s="1462"/>
      <c r="E70" s="1462"/>
      <c r="F70" s="1462"/>
      <c r="G70" s="1462"/>
      <c r="H70" s="1462"/>
      <c r="I70" s="1462"/>
      <c r="J70" s="1462"/>
    </row>
    <row r="71" spans="2:12">
      <c r="B71" s="1462"/>
      <c r="C71" s="1462"/>
      <c r="D71" s="1462"/>
      <c r="E71" s="1462"/>
      <c r="F71" s="1462"/>
      <c r="G71" s="1462"/>
      <c r="H71" s="1462"/>
      <c r="I71" s="1462"/>
      <c r="J71" s="1462"/>
    </row>
    <row r="72" spans="2:12">
      <c r="B72" s="1462"/>
      <c r="C72" s="1462"/>
      <c r="D72" s="1462"/>
      <c r="E72" s="1462"/>
      <c r="F72" s="1462"/>
      <c r="G72" s="1462"/>
      <c r="H72" s="1462"/>
      <c r="I72" s="1462"/>
      <c r="J72" s="1462"/>
    </row>
  </sheetData>
  <mergeCells count="33">
    <mergeCell ref="B26:B29"/>
    <mergeCell ref="B48:B51"/>
    <mergeCell ref="B52:B56"/>
    <mergeCell ref="B57:B61"/>
    <mergeCell ref="B70:J70"/>
    <mergeCell ref="B62:L62"/>
    <mergeCell ref="B7:B10"/>
    <mergeCell ref="B11:B14"/>
    <mergeCell ref="B15:B18"/>
    <mergeCell ref="B19:B22"/>
    <mergeCell ref="B23:B25"/>
    <mergeCell ref="B38:B40"/>
    <mergeCell ref="B41:B43"/>
    <mergeCell ref="B44:B47"/>
    <mergeCell ref="B34:B37"/>
    <mergeCell ref="B72:J72"/>
    <mergeCell ref="B71:J71"/>
    <mergeCell ref="K5:K6"/>
    <mergeCell ref="B30:B33"/>
    <mergeCell ref="L5:L6"/>
    <mergeCell ref="B1:L1"/>
    <mergeCell ref="B3:B6"/>
    <mergeCell ref="C3:C6"/>
    <mergeCell ref="D3:D6"/>
    <mergeCell ref="E3:E6"/>
    <mergeCell ref="I3:I6"/>
    <mergeCell ref="J3:L3"/>
    <mergeCell ref="F4:H4"/>
    <mergeCell ref="J4:L4"/>
    <mergeCell ref="F5:F6"/>
    <mergeCell ref="G5:G6"/>
    <mergeCell ref="H5:H6"/>
    <mergeCell ref="J5:J6"/>
  </mergeCells>
  <pageMargins left="0.7" right="0.49" top="0.42" bottom="0.37" header="0.3" footer="0.3"/>
  <pageSetup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X27"/>
  <sheetViews>
    <sheetView workbookViewId="0">
      <selection activeCell="B5" sqref="B5:X19"/>
    </sheetView>
  </sheetViews>
  <sheetFormatPr defaultRowHeight="12.75"/>
  <cols>
    <col min="1" max="1" width="14.42578125" style="99" customWidth="1"/>
    <col min="2" max="6" width="6" style="99" customWidth="1"/>
    <col min="7" max="9" width="4.85546875" style="99" customWidth="1"/>
    <col min="10" max="10" width="6" style="99" customWidth="1"/>
    <col min="11" max="16" width="4.7109375" style="99" customWidth="1"/>
    <col min="17" max="19" width="6" style="99" customWidth="1"/>
    <col min="20" max="20" width="5" style="99" customWidth="1"/>
    <col min="21" max="22" width="6" style="99" customWidth="1"/>
    <col min="23" max="23" width="4.5703125" style="99" customWidth="1"/>
    <col min="24" max="24" width="6" style="99" customWidth="1"/>
    <col min="25" max="16384" width="9.140625" style="99"/>
  </cols>
  <sheetData>
    <row r="2" spans="1:24">
      <c r="A2" s="1514" t="s">
        <v>2299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</row>
    <row r="4" spans="1:24" ht="89.25" customHeight="1">
      <c r="A4" s="878" t="s">
        <v>1599</v>
      </c>
      <c r="B4" s="879" t="s">
        <v>1600</v>
      </c>
      <c r="C4" s="879" t="s">
        <v>1601</v>
      </c>
      <c r="D4" s="879" t="s">
        <v>1602</v>
      </c>
      <c r="E4" s="879" t="s">
        <v>1603</v>
      </c>
      <c r="F4" s="879" t="s">
        <v>1604</v>
      </c>
      <c r="G4" s="879" t="s">
        <v>1605</v>
      </c>
      <c r="H4" s="879" t="s">
        <v>1606</v>
      </c>
      <c r="I4" s="879" t="s">
        <v>1607</v>
      </c>
      <c r="J4" s="879" t="s">
        <v>1608</v>
      </c>
      <c r="K4" s="879" t="s">
        <v>1609</v>
      </c>
      <c r="L4" s="879" t="s">
        <v>1610</v>
      </c>
      <c r="M4" s="879" t="s">
        <v>1611</v>
      </c>
      <c r="N4" s="879" t="s">
        <v>1612</v>
      </c>
      <c r="O4" s="879" t="s">
        <v>1638</v>
      </c>
      <c r="P4" s="879" t="s">
        <v>1613</v>
      </c>
      <c r="Q4" s="879" t="s">
        <v>1614</v>
      </c>
      <c r="R4" s="879" t="s">
        <v>1615</v>
      </c>
      <c r="S4" s="879" t="s">
        <v>1616</v>
      </c>
      <c r="T4" s="879" t="s">
        <v>1617</v>
      </c>
      <c r="U4" s="879" t="s">
        <v>1618</v>
      </c>
      <c r="V4" s="879" t="s">
        <v>1619</v>
      </c>
      <c r="W4" s="879" t="s">
        <v>1620</v>
      </c>
      <c r="X4" s="879" t="s">
        <v>1621</v>
      </c>
    </row>
    <row r="5" spans="1:24" ht="20.25" customHeight="1">
      <c r="A5" s="1149" t="s">
        <v>1622</v>
      </c>
      <c r="B5" s="1225">
        <v>9</v>
      </c>
      <c r="C5" s="1225">
        <v>3</v>
      </c>
      <c r="D5" s="1225">
        <v>0</v>
      </c>
      <c r="E5" s="1225">
        <v>0</v>
      </c>
      <c r="F5" s="1225">
        <v>0</v>
      </c>
      <c r="G5" s="1225">
        <v>0</v>
      </c>
      <c r="H5" s="1225">
        <v>0</v>
      </c>
      <c r="I5" s="1225">
        <v>0</v>
      </c>
      <c r="J5" s="1225">
        <v>0</v>
      </c>
      <c r="K5" s="1225">
        <v>0</v>
      </c>
      <c r="L5" s="1225">
        <v>0</v>
      </c>
      <c r="M5" s="1225">
        <v>0</v>
      </c>
      <c r="N5" s="1225">
        <v>0</v>
      </c>
      <c r="O5" s="1225">
        <v>1</v>
      </c>
      <c r="P5" s="1225">
        <v>3</v>
      </c>
      <c r="Q5" s="1225">
        <v>26</v>
      </c>
      <c r="R5" s="1225">
        <v>53</v>
      </c>
      <c r="S5" s="1225">
        <v>4</v>
      </c>
      <c r="T5" s="1225">
        <v>52</v>
      </c>
      <c r="U5" s="1225">
        <v>2</v>
      </c>
      <c r="V5" s="1225">
        <v>0</v>
      </c>
      <c r="W5" s="1225">
        <v>0</v>
      </c>
      <c r="X5" s="1225">
        <v>0</v>
      </c>
    </row>
    <row r="6" spans="1:24" ht="20.25" customHeight="1">
      <c r="A6" s="1149" t="s">
        <v>1038</v>
      </c>
      <c r="B6" s="1225">
        <v>103</v>
      </c>
      <c r="C6" s="1225">
        <v>54</v>
      </c>
      <c r="D6" s="1225">
        <v>0</v>
      </c>
      <c r="E6" s="1225">
        <v>0</v>
      </c>
      <c r="F6" s="1225">
        <v>0</v>
      </c>
      <c r="G6" s="1225">
        <v>5</v>
      </c>
      <c r="H6" s="1225">
        <v>0</v>
      </c>
      <c r="I6" s="1225">
        <v>0</v>
      </c>
      <c r="J6" s="1225">
        <v>0</v>
      </c>
      <c r="K6" s="1225">
        <v>2</v>
      </c>
      <c r="L6" s="1225">
        <v>0</v>
      </c>
      <c r="M6" s="1225">
        <v>1</v>
      </c>
      <c r="N6" s="1225">
        <v>0</v>
      </c>
      <c r="O6" s="1225">
        <v>1</v>
      </c>
      <c r="P6" s="1225">
        <v>74</v>
      </c>
      <c r="Q6" s="1225">
        <v>76</v>
      </c>
      <c r="R6" s="1225">
        <v>55</v>
      </c>
      <c r="S6" s="1225">
        <v>0</v>
      </c>
      <c r="T6" s="1225">
        <v>178</v>
      </c>
      <c r="U6" s="1225">
        <v>9</v>
      </c>
      <c r="V6" s="1225">
        <v>0</v>
      </c>
      <c r="W6" s="1225">
        <v>0</v>
      </c>
      <c r="X6" s="1225">
        <v>136</v>
      </c>
    </row>
    <row r="7" spans="1:24" ht="20.25" customHeight="1">
      <c r="A7" s="1149" t="s">
        <v>1623</v>
      </c>
      <c r="B7" s="1225">
        <v>30</v>
      </c>
      <c r="C7" s="1225">
        <v>14</v>
      </c>
      <c r="D7" s="1225">
        <v>0</v>
      </c>
      <c r="E7" s="1225">
        <v>0</v>
      </c>
      <c r="F7" s="1225">
        <v>0</v>
      </c>
      <c r="G7" s="1225">
        <v>0</v>
      </c>
      <c r="H7" s="1225">
        <v>0</v>
      </c>
      <c r="I7" s="1225">
        <v>0</v>
      </c>
      <c r="J7" s="1225">
        <v>0</v>
      </c>
      <c r="K7" s="1225">
        <v>0</v>
      </c>
      <c r="L7" s="1225">
        <v>0</v>
      </c>
      <c r="M7" s="1225">
        <v>0</v>
      </c>
      <c r="N7" s="1225">
        <v>0</v>
      </c>
      <c r="O7" s="1225">
        <v>0</v>
      </c>
      <c r="P7" s="1225">
        <v>0</v>
      </c>
      <c r="Q7" s="1225">
        <v>44</v>
      </c>
      <c r="R7" s="1225">
        <v>32</v>
      </c>
      <c r="S7" s="1225">
        <v>1</v>
      </c>
      <c r="T7" s="1225">
        <v>72</v>
      </c>
      <c r="U7" s="1225">
        <v>0</v>
      </c>
      <c r="V7" s="1225">
        <v>0</v>
      </c>
      <c r="W7" s="1225">
        <v>0</v>
      </c>
      <c r="X7" s="1225">
        <v>5</v>
      </c>
    </row>
    <row r="8" spans="1:24" ht="20.25" customHeight="1">
      <c r="A8" s="1149" t="s">
        <v>1624</v>
      </c>
      <c r="B8" s="1225">
        <v>56</v>
      </c>
      <c r="C8" s="1225">
        <v>47</v>
      </c>
      <c r="D8" s="1225">
        <v>1</v>
      </c>
      <c r="E8" s="1225">
        <v>0</v>
      </c>
      <c r="F8" s="1225">
        <v>0</v>
      </c>
      <c r="G8" s="1225">
        <v>3</v>
      </c>
      <c r="H8" s="1225">
        <v>0</v>
      </c>
      <c r="I8" s="1225">
        <v>0</v>
      </c>
      <c r="J8" s="1225">
        <v>1</v>
      </c>
      <c r="K8" s="1225">
        <v>2</v>
      </c>
      <c r="L8" s="1225">
        <v>0</v>
      </c>
      <c r="M8" s="1225">
        <v>1</v>
      </c>
      <c r="N8" s="1225">
        <v>1</v>
      </c>
      <c r="O8" s="1225">
        <v>1</v>
      </c>
      <c r="P8" s="1225">
        <v>92</v>
      </c>
      <c r="Q8" s="1225">
        <v>104</v>
      </c>
      <c r="R8" s="1225">
        <v>48</v>
      </c>
      <c r="S8" s="1225">
        <v>6</v>
      </c>
      <c r="T8" s="1225">
        <v>144</v>
      </c>
      <c r="U8" s="1225">
        <v>3</v>
      </c>
      <c r="V8" s="1225">
        <v>1</v>
      </c>
      <c r="W8" s="1225">
        <v>0</v>
      </c>
      <c r="X8" s="1225">
        <v>93</v>
      </c>
    </row>
    <row r="9" spans="1:24" ht="20.25" customHeight="1">
      <c r="A9" s="1149" t="s">
        <v>1625</v>
      </c>
      <c r="B9" s="1225">
        <v>20</v>
      </c>
      <c r="C9" s="1225">
        <v>7</v>
      </c>
      <c r="D9" s="1225">
        <v>0</v>
      </c>
      <c r="E9" s="1225">
        <v>0</v>
      </c>
      <c r="F9" s="1225">
        <v>0</v>
      </c>
      <c r="G9" s="1225">
        <v>6</v>
      </c>
      <c r="H9" s="1225">
        <v>0</v>
      </c>
      <c r="I9" s="1225">
        <v>0</v>
      </c>
      <c r="J9" s="1225">
        <v>0</v>
      </c>
      <c r="K9" s="1225">
        <v>1</v>
      </c>
      <c r="L9" s="1225">
        <v>0</v>
      </c>
      <c r="M9" s="1225">
        <v>0</v>
      </c>
      <c r="N9" s="1225">
        <v>0</v>
      </c>
      <c r="O9" s="1225">
        <v>1</v>
      </c>
      <c r="P9" s="1225">
        <v>16</v>
      </c>
      <c r="Q9" s="1225">
        <v>48</v>
      </c>
      <c r="R9" s="1225">
        <v>18</v>
      </c>
      <c r="S9" s="1225">
        <v>0</v>
      </c>
      <c r="T9" s="1225">
        <v>103</v>
      </c>
      <c r="U9" s="1225">
        <v>0</v>
      </c>
      <c r="V9" s="1225">
        <v>0</v>
      </c>
      <c r="W9" s="1225">
        <v>0</v>
      </c>
      <c r="X9" s="1225">
        <v>0</v>
      </c>
    </row>
    <row r="10" spans="1:24" ht="20.25" customHeight="1">
      <c r="A10" s="1149" t="s">
        <v>1626</v>
      </c>
      <c r="B10" s="1225">
        <v>11</v>
      </c>
      <c r="C10" s="1225">
        <v>0</v>
      </c>
      <c r="D10" s="1225">
        <v>0</v>
      </c>
      <c r="E10" s="1225">
        <v>0</v>
      </c>
      <c r="F10" s="1225">
        <v>0</v>
      </c>
      <c r="G10" s="1225">
        <v>0</v>
      </c>
      <c r="H10" s="1225">
        <v>0</v>
      </c>
      <c r="I10" s="1225">
        <v>0</v>
      </c>
      <c r="J10" s="1225">
        <v>0</v>
      </c>
      <c r="K10" s="1225">
        <v>0</v>
      </c>
      <c r="L10" s="1225">
        <v>0</v>
      </c>
      <c r="M10" s="1225">
        <v>0</v>
      </c>
      <c r="N10" s="1225">
        <v>0</v>
      </c>
      <c r="O10" s="1225">
        <v>0</v>
      </c>
      <c r="P10" s="1225">
        <v>1</v>
      </c>
      <c r="Q10" s="1225">
        <v>30</v>
      </c>
      <c r="R10" s="1225">
        <v>36</v>
      </c>
      <c r="S10" s="1225">
        <v>0</v>
      </c>
      <c r="T10" s="1225">
        <v>70</v>
      </c>
      <c r="U10" s="1225">
        <v>0</v>
      </c>
      <c r="V10" s="1225">
        <v>0</v>
      </c>
      <c r="W10" s="1225">
        <v>0</v>
      </c>
      <c r="X10" s="1225">
        <v>0</v>
      </c>
    </row>
    <row r="11" spans="1:24" ht="20.25" customHeight="1">
      <c r="A11" s="1149" t="s">
        <v>1627</v>
      </c>
      <c r="B11" s="1225">
        <v>55</v>
      </c>
      <c r="C11" s="1225">
        <v>42</v>
      </c>
      <c r="D11" s="1225">
        <v>0</v>
      </c>
      <c r="E11" s="1225">
        <v>0</v>
      </c>
      <c r="F11" s="1225">
        <v>0</v>
      </c>
      <c r="G11" s="1225">
        <v>0</v>
      </c>
      <c r="H11" s="1225">
        <v>0</v>
      </c>
      <c r="I11" s="1225">
        <v>0</v>
      </c>
      <c r="J11" s="1225">
        <v>0</v>
      </c>
      <c r="K11" s="1225">
        <v>0</v>
      </c>
      <c r="L11" s="1225">
        <v>0</v>
      </c>
      <c r="M11" s="1225">
        <v>0</v>
      </c>
      <c r="N11" s="1225">
        <v>0</v>
      </c>
      <c r="O11" s="1225">
        <v>0</v>
      </c>
      <c r="P11" s="1225">
        <v>85</v>
      </c>
      <c r="Q11" s="1225">
        <v>124</v>
      </c>
      <c r="R11" s="1225">
        <v>95</v>
      </c>
      <c r="S11" s="1225">
        <v>2</v>
      </c>
      <c r="T11" s="1225">
        <v>311</v>
      </c>
      <c r="U11" s="1225">
        <v>0</v>
      </c>
      <c r="V11" s="1225">
        <v>1</v>
      </c>
      <c r="W11" s="1225">
        <v>0</v>
      </c>
      <c r="X11" s="1225">
        <v>113</v>
      </c>
    </row>
    <row r="12" spans="1:24" ht="20.25" customHeight="1">
      <c r="A12" s="1149" t="s">
        <v>1039</v>
      </c>
      <c r="B12" s="1225">
        <v>13</v>
      </c>
      <c r="C12" s="1225">
        <v>12</v>
      </c>
      <c r="D12" s="1225">
        <v>0</v>
      </c>
      <c r="E12" s="1225">
        <v>0</v>
      </c>
      <c r="F12" s="1225">
        <v>0</v>
      </c>
      <c r="G12" s="1225">
        <v>1</v>
      </c>
      <c r="H12" s="1225">
        <v>0</v>
      </c>
      <c r="I12" s="1225">
        <v>0</v>
      </c>
      <c r="J12" s="1225">
        <v>0</v>
      </c>
      <c r="K12" s="1225">
        <v>0</v>
      </c>
      <c r="L12" s="1225">
        <v>0</v>
      </c>
      <c r="M12" s="1225">
        <v>0</v>
      </c>
      <c r="N12" s="1225">
        <v>0</v>
      </c>
      <c r="O12" s="1225">
        <v>0</v>
      </c>
      <c r="P12" s="1225">
        <v>8</v>
      </c>
      <c r="Q12" s="1225">
        <v>58</v>
      </c>
      <c r="R12" s="1225">
        <v>46</v>
      </c>
      <c r="S12" s="1225">
        <v>2</v>
      </c>
      <c r="T12" s="1225">
        <v>97</v>
      </c>
      <c r="U12" s="1225">
        <v>0</v>
      </c>
      <c r="V12" s="1225">
        <v>0</v>
      </c>
      <c r="W12" s="1225">
        <v>0</v>
      </c>
      <c r="X12" s="1225">
        <v>0</v>
      </c>
    </row>
    <row r="13" spans="1:24" ht="20.25" customHeight="1">
      <c r="A13" s="1149" t="s">
        <v>1040</v>
      </c>
      <c r="B13" s="1225">
        <v>14</v>
      </c>
      <c r="C13" s="1225">
        <v>2</v>
      </c>
      <c r="D13" s="1225">
        <v>0</v>
      </c>
      <c r="E13" s="1225">
        <v>0</v>
      </c>
      <c r="F13" s="1225">
        <v>0</v>
      </c>
      <c r="G13" s="1225">
        <v>0</v>
      </c>
      <c r="H13" s="1225">
        <v>0</v>
      </c>
      <c r="I13" s="1225">
        <v>0</v>
      </c>
      <c r="J13" s="1225">
        <v>0</v>
      </c>
      <c r="K13" s="1225">
        <v>0</v>
      </c>
      <c r="L13" s="1225">
        <v>0</v>
      </c>
      <c r="M13" s="1225">
        <v>0</v>
      </c>
      <c r="N13" s="1225">
        <v>0</v>
      </c>
      <c r="O13" s="1225">
        <v>0</v>
      </c>
      <c r="P13" s="1225">
        <v>1</v>
      </c>
      <c r="Q13" s="1225">
        <v>56</v>
      </c>
      <c r="R13" s="1225">
        <v>30</v>
      </c>
      <c r="S13" s="1225">
        <v>0</v>
      </c>
      <c r="T13" s="1225">
        <v>98</v>
      </c>
      <c r="U13" s="1225">
        <v>0</v>
      </c>
      <c r="V13" s="1225">
        <v>0</v>
      </c>
      <c r="W13" s="1225">
        <v>0</v>
      </c>
      <c r="X13" s="1225">
        <v>0</v>
      </c>
    </row>
    <row r="14" spans="1:24" ht="20.25" customHeight="1">
      <c r="A14" s="1149" t="s">
        <v>1628</v>
      </c>
      <c r="B14" s="1225">
        <v>1</v>
      </c>
      <c r="C14" s="1225">
        <v>3</v>
      </c>
      <c r="D14" s="1225">
        <v>0</v>
      </c>
      <c r="E14" s="1225">
        <v>0</v>
      </c>
      <c r="F14" s="1225">
        <v>0</v>
      </c>
      <c r="G14" s="1225">
        <v>0</v>
      </c>
      <c r="H14" s="1225">
        <v>0</v>
      </c>
      <c r="I14" s="1225">
        <v>0</v>
      </c>
      <c r="J14" s="1225">
        <v>0</v>
      </c>
      <c r="K14" s="1225">
        <v>0</v>
      </c>
      <c r="L14" s="1225">
        <v>0</v>
      </c>
      <c r="M14" s="1225">
        <v>0</v>
      </c>
      <c r="N14" s="1225">
        <v>0</v>
      </c>
      <c r="O14" s="1225">
        <v>0</v>
      </c>
      <c r="P14" s="1225">
        <v>2</v>
      </c>
      <c r="Q14" s="1225">
        <v>17</v>
      </c>
      <c r="R14" s="1225">
        <v>2</v>
      </c>
      <c r="S14" s="1225">
        <v>2</v>
      </c>
      <c r="T14" s="1225">
        <v>29</v>
      </c>
      <c r="U14" s="1225">
        <v>0</v>
      </c>
      <c r="V14" s="1225">
        <v>0</v>
      </c>
      <c r="W14" s="1225">
        <v>0</v>
      </c>
      <c r="X14" s="1225">
        <v>2</v>
      </c>
    </row>
    <row r="15" spans="1:24" ht="20.25" customHeight="1">
      <c r="A15" s="1149" t="s">
        <v>1629</v>
      </c>
      <c r="B15" s="1225">
        <v>15</v>
      </c>
      <c r="C15" s="1225">
        <v>2</v>
      </c>
      <c r="D15" s="1225">
        <v>2</v>
      </c>
      <c r="E15" s="1225">
        <v>0</v>
      </c>
      <c r="F15" s="1225">
        <v>0</v>
      </c>
      <c r="G15" s="1225">
        <v>1</v>
      </c>
      <c r="H15" s="1225">
        <v>1</v>
      </c>
      <c r="I15" s="1225">
        <v>0</v>
      </c>
      <c r="J15" s="1225">
        <v>0</v>
      </c>
      <c r="K15" s="1225">
        <v>1</v>
      </c>
      <c r="L15" s="1225">
        <v>1</v>
      </c>
      <c r="M15" s="1225">
        <v>1</v>
      </c>
      <c r="N15" s="1225">
        <v>0</v>
      </c>
      <c r="O15" s="1225">
        <v>0</v>
      </c>
      <c r="P15" s="1225">
        <v>8</v>
      </c>
      <c r="Q15" s="1225">
        <v>71</v>
      </c>
      <c r="R15" s="1225">
        <v>36</v>
      </c>
      <c r="S15" s="1225">
        <v>7</v>
      </c>
      <c r="T15" s="1225">
        <v>131</v>
      </c>
      <c r="U15" s="1225">
        <v>1</v>
      </c>
      <c r="V15" s="1225">
        <v>0</v>
      </c>
      <c r="W15" s="1225">
        <v>0</v>
      </c>
      <c r="X15" s="1225">
        <v>1</v>
      </c>
    </row>
    <row r="16" spans="1:24" ht="20.25" customHeight="1">
      <c r="A16" s="1149" t="s">
        <v>1630</v>
      </c>
      <c r="B16" s="1225">
        <v>59</v>
      </c>
      <c r="C16" s="1225">
        <v>16</v>
      </c>
      <c r="D16" s="1225">
        <v>0</v>
      </c>
      <c r="E16" s="1225">
        <v>0</v>
      </c>
      <c r="F16" s="1225">
        <v>0</v>
      </c>
      <c r="G16" s="1225">
        <v>2</v>
      </c>
      <c r="H16" s="1225">
        <v>1</v>
      </c>
      <c r="I16" s="1225">
        <v>0</v>
      </c>
      <c r="J16" s="1225">
        <v>1</v>
      </c>
      <c r="K16" s="1225">
        <v>1</v>
      </c>
      <c r="L16" s="1225">
        <v>0</v>
      </c>
      <c r="M16" s="1225">
        <v>0</v>
      </c>
      <c r="N16" s="1225">
        <v>1</v>
      </c>
      <c r="O16" s="1225">
        <v>1</v>
      </c>
      <c r="P16" s="1225">
        <v>34</v>
      </c>
      <c r="Q16" s="1225">
        <v>84</v>
      </c>
      <c r="R16" s="1225">
        <v>66</v>
      </c>
      <c r="S16" s="1225">
        <v>0</v>
      </c>
      <c r="T16" s="1225">
        <v>210</v>
      </c>
      <c r="U16" s="1225">
        <v>0</v>
      </c>
      <c r="V16" s="1225">
        <v>0</v>
      </c>
      <c r="W16" s="1225">
        <v>0</v>
      </c>
      <c r="X16" s="1225">
        <v>91</v>
      </c>
    </row>
    <row r="17" spans="1:24" ht="20.25" customHeight="1">
      <c r="A17" s="1149" t="s">
        <v>1564</v>
      </c>
      <c r="B17" s="1225">
        <v>15</v>
      </c>
      <c r="C17" s="1225">
        <v>13</v>
      </c>
      <c r="D17" s="1225">
        <v>0</v>
      </c>
      <c r="E17" s="1225">
        <v>0</v>
      </c>
      <c r="F17" s="1225">
        <v>0</v>
      </c>
      <c r="G17" s="1225">
        <v>0</v>
      </c>
      <c r="H17" s="1225">
        <v>0</v>
      </c>
      <c r="I17" s="1225">
        <v>0</v>
      </c>
      <c r="J17" s="1225">
        <v>1</v>
      </c>
      <c r="K17" s="1225">
        <v>1</v>
      </c>
      <c r="L17" s="1225">
        <v>1</v>
      </c>
      <c r="M17" s="1225">
        <v>1</v>
      </c>
      <c r="N17" s="1225">
        <v>0</v>
      </c>
      <c r="O17" s="1225">
        <v>1</v>
      </c>
      <c r="P17" s="1225">
        <v>17</v>
      </c>
      <c r="Q17" s="1225">
        <v>51</v>
      </c>
      <c r="R17" s="1225">
        <v>63</v>
      </c>
      <c r="S17" s="1225">
        <v>2</v>
      </c>
      <c r="T17" s="1225">
        <v>175</v>
      </c>
      <c r="U17" s="1225">
        <v>1</v>
      </c>
      <c r="V17" s="1225">
        <v>0</v>
      </c>
      <c r="W17" s="1225">
        <v>0</v>
      </c>
      <c r="X17" s="1225">
        <v>4</v>
      </c>
    </row>
    <row r="18" spans="1:24" ht="20.25" customHeight="1">
      <c r="A18" s="1176" t="s">
        <v>1041</v>
      </c>
      <c r="B18" s="1226">
        <v>22</v>
      </c>
      <c r="C18" s="1226">
        <v>21</v>
      </c>
      <c r="D18" s="1226">
        <v>0</v>
      </c>
      <c r="E18" s="1226">
        <v>0</v>
      </c>
      <c r="F18" s="1226">
        <v>0</v>
      </c>
      <c r="G18" s="1226">
        <v>0</v>
      </c>
      <c r="H18" s="1226">
        <v>0</v>
      </c>
      <c r="I18" s="1226">
        <v>0</v>
      </c>
      <c r="J18" s="1226">
        <v>0</v>
      </c>
      <c r="K18" s="1226">
        <v>0</v>
      </c>
      <c r="L18" s="1226">
        <v>0</v>
      </c>
      <c r="M18" s="1226">
        <v>0</v>
      </c>
      <c r="N18" s="1226">
        <v>0</v>
      </c>
      <c r="O18" s="1226">
        <v>0</v>
      </c>
      <c r="P18" s="1226">
        <v>7</v>
      </c>
      <c r="Q18" s="1226">
        <v>46</v>
      </c>
      <c r="R18" s="1226">
        <v>34</v>
      </c>
      <c r="S18" s="1226">
        <v>0</v>
      </c>
      <c r="T18" s="1226">
        <v>101</v>
      </c>
      <c r="U18" s="1226">
        <v>0</v>
      </c>
      <c r="V18" s="1226">
        <v>0</v>
      </c>
      <c r="W18" s="1226">
        <v>0</v>
      </c>
      <c r="X18" s="1226">
        <v>0</v>
      </c>
    </row>
    <row r="19" spans="1:24" ht="20.25" customHeight="1">
      <c r="A19" s="1177" t="s">
        <v>1631</v>
      </c>
      <c r="B19" s="222">
        <f>SUM(B5:B18)</f>
        <v>423</v>
      </c>
      <c r="C19" s="222">
        <f t="shared" ref="C19:S19" si="0">SUM(C5:C18)</f>
        <v>236</v>
      </c>
      <c r="D19" s="222">
        <f t="shared" si="0"/>
        <v>3</v>
      </c>
      <c r="E19" s="222">
        <f t="shared" si="0"/>
        <v>0</v>
      </c>
      <c r="F19" s="222">
        <f t="shared" si="0"/>
        <v>0</v>
      </c>
      <c r="G19" s="222">
        <f t="shared" si="0"/>
        <v>18</v>
      </c>
      <c r="H19" s="222">
        <f t="shared" si="0"/>
        <v>2</v>
      </c>
      <c r="I19" s="222">
        <f t="shared" si="0"/>
        <v>0</v>
      </c>
      <c r="J19" s="222">
        <f t="shared" si="0"/>
        <v>3</v>
      </c>
      <c r="K19" s="222">
        <f t="shared" si="0"/>
        <v>8</v>
      </c>
      <c r="L19" s="222">
        <f t="shared" si="0"/>
        <v>2</v>
      </c>
      <c r="M19" s="222">
        <f t="shared" si="0"/>
        <v>4</v>
      </c>
      <c r="N19" s="222">
        <f t="shared" si="0"/>
        <v>2</v>
      </c>
      <c r="O19" s="222">
        <f t="shared" si="0"/>
        <v>6</v>
      </c>
      <c r="P19" s="222">
        <f t="shared" si="0"/>
        <v>348</v>
      </c>
      <c r="Q19" s="222">
        <f t="shared" si="0"/>
        <v>835</v>
      </c>
      <c r="R19" s="222">
        <f t="shared" si="0"/>
        <v>614</v>
      </c>
      <c r="S19" s="222">
        <f t="shared" si="0"/>
        <v>26</v>
      </c>
      <c r="T19" s="222">
        <f>SUM(T5:T18)</f>
        <v>1771</v>
      </c>
      <c r="U19" s="222">
        <f>SUM(U5:U18)</f>
        <v>16</v>
      </c>
      <c r="V19" s="222">
        <f>SUM(V5:V18)</f>
        <v>2</v>
      </c>
      <c r="W19" s="222">
        <f>SUM(W5:W18)</f>
        <v>0</v>
      </c>
      <c r="X19" s="222">
        <f>SUM(X5:X18)</f>
        <v>445</v>
      </c>
    </row>
    <row r="27" spans="1:24">
      <c r="A27" s="1514">
        <v>43</v>
      </c>
      <c r="B27" s="1514"/>
      <c r="C27" s="1514"/>
      <c r="D27" s="1514"/>
      <c r="E27" s="1514"/>
      <c r="F27" s="1514"/>
      <c r="G27" s="1514"/>
      <c r="H27" s="1514"/>
      <c r="I27" s="1514"/>
      <c r="J27" s="1514"/>
      <c r="K27" s="1514"/>
      <c r="L27" s="1514"/>
      <c r="M27" s="1514"/>
      <c r="N27" s="1514"/>
      <c r="O27" s="1514"/>
      <c r="P27" s="1514"/>
      <c r="Q27" s="1514"/>
      <c r="R27" s="1514"/>
      <c r="S27" s="1514"/>
      <c r="T27" s="1514"/>
      <c r="U27" s="1514"/>
      <c r="V27" s="1514"/>
      <c r="W27" s="1514"/>
      <c r="X27" s="1514"/>
    </row>
  </sheetData>
  <mergeCells count="2">
    <mergeCell ref="A2:W2"/>
    <mergeCell ref="A27:X27"/>
  </mergeCells>
  <pageMargins left="0.4" right="0.19" top="0.75" bottom="0.75" header="0.3" footer="0.3"/>
  <pageSetup scale="9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48"/>
  <sheetViews>
    <sheetView topLeftCell="L1" workbookViewId="0">
      <selection activeCell="I34" sqref="I34"/>
    </sheetView>
  </sheetViews>
  <sheetFormatPr defaultRowHeight="12.75"/>
  <cols>
    <col min="1" max="1" width="13.42578125" style="297" customWidth="1"/>
    <col min="2" max="2" width="9.140625" style="297"/>
    <col min="3" max="3" width="8.42578125" style="297" customWidth="1"/>
    <col min="4" max="8" width="7.42578125" style="297" customWidth="1"/>
    <col min="9" max="10" width="8.28515625" style="297" customWidth="1"/>
    <col min="11" max="13" width="7.85546875" style="297" customWidth="1"/>
    <col min="14" max="16384" width="9.140625" style="297"/>
  </cols>
  <sheetData>
    <row r="1" spans="1:30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>
      <c r="A2" s="1625" t="s">
        <v>871</v>
      </c>
      <c r="B2" s="1625"/>
      <c r="C2" s="1625"/>
      <c r="D2" s="1625"/>
      <c r="E2" s="1625"/>
      <c r="F2" s="1625"/>
      <c r="G2" s="1625"/>
      <c r="H2" s="1625"/>
      <c r="I2" s="1625"/>
      <c r="J2" s="1625"/>
      <c r="K2" s="1625"/>
      <c r="L2" s="1625"/>
      <c r="M2" s="1625"/>
      <c r="N2" s="1625"/>
      <c r="O2" s="1625"/>
      <c r="P2" s="1625"/>
      <c r="Q2" s="1625"/>
      <c r="R2" s="1625"/>
      <c r="S2" s="1625"/>
      <c r="T2" s="1625"/>
      <c r="U2" s="1625"/>
      <c r="V2" s="1625"/>
      <c r="W2" s="1625"/>
      <c r="X2" s="1625"/>
      <c r="Y2" s="1625"/>
      <c r="Z2" s="788"/>
      <c r="AA2" s="788"/>
      <c r="AB2" s="788"/>
      <c r="AC2" s="788"/>
      <c r="AD2" s="51"/>
    </row>
    <row r="3" spans="1:30">
      <c r="A3" s="1626"/>
      <c r="B3" s="1626"/>
      <c r="C3" s="789"/>
      <c r="D3" s="789"/>
      <c r="E3" s="789"/>
      <c r="F3" s="789"/>
      <c r="G3" s="789"/>
      <c r="H3" s="790"/>
      <c r="I3" s="791"/>
      <c r="J3" s="789"/>
      <c r="K3" s="789"/>
      <c r="L3" s="789"/>
      <c r="M3" s="792"/>
      <c r="N3" s="792"/>
      <c r="O3" s="99"/>
      <c r="P3" s="99"/>
      <c r="Q3" s="99"/>
      <c r="R3" s="793"/>
      <c r="S3" s="793"/>
      <c r="T3" s="793"/>
      <c r="U3" s="793"/>
      <c r="V3" s="793"/>
      <c r="W3" s="793"/>
      <c r="X3" s="793"/>
      <c r="Y3" s="793"/>
      <c r="Z3" s="788"/>
      <c r="AA3" s="788"/>
      <c r="AB3" s="788"/>
      <c r="AC3" s="788"/>
      <c r="AD3" s="51"/>
    </row>
    <row r="4" spans="1:30">
      <c r="A4" s="794"/>
      <c r="B4" s="795" t="s">
        <v>872</v>
      </c>
      <c r="C4" s="796"/>
      <c r="D4" s="796"/>
      <c r="E4" s="796"/>
      <c r="F4" s="796"/>
      <c r="G4" s="797"/>
      <c r="H4" s="798"/>
      <c r="I4" s="799"/>
      <c r="J4" s="800" t="s">
        <v>873</v>
      </c>
      <c r="K4" s="801"/>
      <c r="L4" s="801"/>
      <c r="M4" s="802"/>
      <c r="N4" s="1606" t="s">
        <v>273</v>
      </c>
      <c r="O4" s="1627"/>
      <c r="P4" s="1627"/>
      <c r="Q4" s="1627"/>
      <c r="R4" s="1627"/>
      <c r="S4" s="1607"/>
      <c r="T4" s="1606" t="s">
        <v>353</v>
      </c>
      <c r="U4" s="1627"/>
      <c r="V4" s="1627"/>
      <c r="W4" s="1627"/>
      <c r="X4" s="1627"/>
      <c r="Y4" s="1607"/>
      <c r="Z4" s="788"/>
      <c r="AA4" s="788"/>
      <c r="AB4" s="788"/>
      <c r="AC4" s="788"/>
      <c r="AD4" s="51"/>
    </row>
    <row r="5" spans="1:30" ht="38.25">
      <c r="A5" s="499" t="s">
        <v>176</v>
      </c>
      <c r="B5" s="499" t="s">
        <v>874</v>
      </c>
      <c r="C5" s="803" t="s">
        <v>275</v>
      </c>
      <c r="D5" s="804"/>
      <c r="E5" s="804"/>
      <c r="F5" s="804"/>
      <c r="G5" s="805"/>
      <c r="H5" s="499" t="s">
        <v>874</v>
      </c>
      <c r="I5" s="806" t="s">
        <v>275</v>
      </c>
      <c r="J5" s="806"/>
      <c r="K5" s="806"/>
      <c r="L5" s="806"/>
      <c r="M5" s="806"/>
      <c r="N5" s="499" t="s">
        <v>874</v>
      </c>
      <c r="O5" s="803" t="s">
        <v>275</v>
      </c>
      <c r="P5" s="804"/>
      <c r="Q5" s="804"/>
      <c r="R5" s="804"/>
      <c r="S5" s="805"/>
      <c r="T5" s="499" t="s">
        <v>874</v>
      </c>
      <c r="U5" s="1604" t="s">
        <v>275</v>
      </c>
      <c r="V5" s="1610"/>
      <c r="W5" s="1610"/>
      <c r="X5" s="1610"/>
      <c r="Y5" s="1605"/>
      <c r="Z5" s="788"/>
      <c r="AA5" s="788"/>
      <c r="AB5" s="788"/>
      <c r="AC5" s="788"/>
      <c r="AD5" s="51"/>
    </row>
    <row r="6" spans="1:30">
      <c r="A6" s="807"/>
      <c r="B6" s="785" t="s">
        <v>353</v>
      </c>
      <c r="C6" s="537" t="s">
        <v>768</v>
      </c>
      <c r="D6" s="537" t="s">
        <v>769</v>
      </c>
      <c r="E6" s="537" t="s">
        <v>770</v>
      </c>
      <c r="F6" s="537" t="s">
        <v>791</v>
      </c>
      <c r="G6" s="537" t="s">
        <v>792</v>
      </c>
      <c r="H6" s="785" t="s">
        <v>353</v>
      </c>
      <c r="I6" s="537" t="s">
        <v>768</v>
      </c>
      <c r="J6" s="537" t="s">
        <v>769</v>
      </c>
      <c r="K6" s="537" t="s">
        <v>770</v>
      </c>
      <c r="L6" s="537" t="s">
        <v>791</v>
      </c>
      <c r="M6" s="537" t="s">
        <v>792</v>
      </c>
      <c r="N6" s="785" t="s">
        <v>353</v>
      </c>
      <c r="O6" s="537" t="s">
        <v>768</v>
      </c>
      <c r="P6" s="537" t="s">
        <v>769</v>
      </c>
      <c r="Q6" s="537" t="s">
        <v>770</v>
      </c>
      <c r="R6" s="537" t="s">
        <v>791</v>
      </c>
      <c r="S6" s="537" t="s">
        <v>792</v>
      </c>
      <c r="T6" s="785" t="s">
        <v>353</v>
      </c>
      <c r="U6" s="537" t="s">
        <v>768</v>
      </c>
      <c r="V6" s="537" t="s">
        <v>769</v>
      </c>
      <c r="W6" s="537" t="s">
        <v>770</v>
      </c>
      <c r="X6" s="537" t="s">
        <v>791</v>
      </c>
      <c r="Y6" s="537" t="s">
        <v>792</v>
      </c>
      <c r="Z6" s="788"/>
      <c r="AA6" s="788"/>
      <c r="AB6" s="788"/>
      <c r="AC6" s="788"/>
      <c r="AD6" s="51"/>
    </row>
    <row r="7" spans="1:30">
      <c r="A7" s="808" t="s">
        <v>280</v>
      </c>
      <c r="B7" s="785">
        <f>SUM(C7:G7)</f>
        <v>123</v>
      </c>
      <c r="C7" s="537"/>
      <c r="D7" s="537">
        <v>4</v>
      </c>
      <c r="E7" s="537">
        <v>8</v>
      </c>
      <c r="F7" s="537">
        <v>23</v>
      </c>
      <c r="G7" s="537">
        <v>88</v>
      </c>
      <c r="H7" s="785">
        <f>SUM(I7:M7)</f>
        <v>0</v>
      </c>
      <c r="I7" s="809"/>
      <c r="J7" s="809"/>
      <c r="K7" s="809"/>
      <c r="L7" s="809"/>
      <c r="M7" s="809"/>
      <c r="N7" s="785">
        <f>SUM(O7:S7)</f>
        <v>1187</v>
      </c>
      <c r="O7" s="537">
        <v>3</v>
      </c>
      <c r="P7" s="537">
        <v>88</v>
      </c>
      <c r="Q7" s="537">
        <v>81</v>
      </c>
      <c r="R7" s="537">
        <v>630</v>
      </c>
      <c r="S7" s="537">
        <v>385</v>
      </c>
      <c r="T7" s="785">
        <f t="shared" ref="T7:T20" si="0">SUM(U7:Y7)</f>
        <v>1310</v>
      </c>
      <c r="U7" s="810">
        <f>SUM(C7+I7+O7)</f>
        <v>3</v>
      </c>
      <c r="V7" s="810">
        <f>SUM(D7+J7+P7)</f>
        <v>92</v>
      </c>
      <c r="W7" s="810">
        <f>SUM(E7+K7+Q7)</f>
        <v>89</v>
      </c>
      <c r="X7" s="810">
        <f>SUM(F7+L7+R7)</f>
        <v>653</v>
      </c>
      <c r="Y7" s="810">
        <f>SUM(G7+M7+S7)</f>
        <v>473</v>
      </c>
      <c r="Z7" s="788"/>
      <c r="AA7" s="788"/>
      <c r="AB7" s="788"/>
      <c r="AC7" s="788"/>
      <c r="AD7" s="51"/>
    </row>
    <row r="8" spans="1:30">
      <c r="A8" s="811" t="s">
        <v>281</v>
      </c>
      <c r="B8" s="537">
        <f t="shared" ref="B8:B20" si="1">SUM(C8:G8)</f>
        <v>55</v>
      </c>
      <c r="C8" s="537"/>
      <c r="D8" s="537"/>
      <c r="E8" s="537">
        <v>2</v>
      </c>
      <c r="F8" s="537">
        <v>30</v>
      </c>
      <c r="G8" s="537">
        <v>23</v>
      </c>
      <c r="H8" s="785">
        <f>SUM(I8:M8)</f>
        <v>0</v>
      </c>
      <c r="I8" s="809"/>
      <c r="J8" s="809"/>
      <c r="K8" s="809"/>
      <c r="L8" s="809"/>
      <c r="M8" s="809"/>
      <c r="N8" s="537">
        <f t="shared" ref="N8:N20" si="2">SUM(O8:S8)</f>
        <v>1237</v>
      </c>
      <c r="O8" s="809">
        <v>3</v>
      </c>
      <c r="P8" s="809">
        <v>30</v>
      </c>
      <c r="Q8" s="809">
        <v>44</v>
      </c>
      <c r="R8" s="809">
        <v>703</v>
      </c>
      <c r="S8" s="809">
        <v>457</v>
      </c>
      <c r="T8" s="785">
        <f t="shared" si="0"/>
        <v>1292</v>
      </c>
      <c r="U8" s="810">
        <f t="shared" ref="U8:Y20" si="3">SUM(C8+I8+O8)</f>
        <v>3</v>
      </c>
      <c r="V8" s="810">
        <f t="shared" si="3"/>
        <v>30</v>
      </c>
      <c r="W8" s="810">
        <f t="shared" si="3"/>
        <v>46</v>
      </c>
      <c r="X8" s="810">
        <f t="shared" si="3"/>
        <v>733</v>
      </c>
      <c r="Y8" s="810">
        <f t="shared" si="3"/>
        <v>480</v>
      </c>
      <c r="Z8" s="788"/>
      <c r="AA8" s="788"/>
      <c r="AB8" s="788"/>
      <c r="AC8" s="788"/>
      <c r="AD8" s="51"/>
    </row>
    <row r="9" spans="1:30">
      <c r="A9" s="811" t="s">
        <v>282</v>
      </c>
      <c r="B9" s="537">
        <f t="shared" si="1"/>
        <v>0</v>
      </c>
      <c r="C9" s="537"/>
      <c r="D9" s="537"/>
      <c r="E9" s="537"/>
      <c r="F9" s="537"/>
      <c r="G9" s="537"/>
      <c r="H9" s="537">
        <f t="shared" ref="H9:H20" si="4">SUM(I9:M9)</f>
        <v>0</v>
      </c>
      <c r="I9" s="809"/>
      <c r="J9" s="809"/>
      <c r="K9" s="809"/>
      <c r="L9" s="809"/>
      <c r="M9" s="809"/>
      <c r="N9" s="537">
        <f t="shared" si="2"/>
        <v>1124</v>
      </c>
      <c r="O9" s="812">
        <v>4</v>
      </c>
      <c r="P9" s="812">
        <v>43</v>
      </c>
      <c r="Q9" s="537">
        <v>58</v>
      </c>
      <c r="R9" s="537">
        <v>392</v>
      </c>
      <c r="S9" s="537">
        <v>627</v>
      </c>
      <c r="T9" s="785">
        <f t="shared" si="0"/>
        <v>1124</v>
      </c>
      <c r="U9" s="810">
        <f t="shared" si="3"/>
        <v>4</v>
      </c>
      <c r="V9" s="810">
        <f t="shared" si="3"/>
        <v>43</v>
      </c>
      <c r="W9" s="810">
        <f t="shared" si="3"/>
        <v>58</v>
      </c>
      <c r="X9" s="810">
        <f t="shared" si="3"/>
        <v>392</v>
      </c>
      <c r="Y9" s="810">
        <f t="shared" si="3"/>
        <v>627</v>
      </c>
      <c r="Z9" s="788"/>
      <c r="AA9" s="788"/>
      <c r="AB9" s="788"/>
      <c r="AC9" s="788"/>
      <c r="AD9" s="51"/>
    </row>
    <row r="10" spans="1:30">
      <c r="A10" s="811" t="s">
        <v>283</v>
      </c>
      <c r="B10" s="537">
        <f t="shared" si="1"/>
        <v>6</v>
      </c>
      <c r="C10" s="537"/>
      <c r="D10" s="537">
        <v>1</v>
      </c>
      <c r="E10" s="537"/>
      <c r="F10" s="537">
        <v>4</v>
      </c>
      <c r="G10" s="537">
        <v>1</v>
      </c>
      <c r="H10" s="537">
        <f t="shared" si="4"/>
        <v>54</v>
      </c>
      <c r="I10" s="809"/>
      <c r="J10" s="809">
        <v>40</v>
      </c>
      <c r="K10" s="809">
        <v>7</v>
      </c>
      <c r="L10" s="809">
        <v>5</v>
      </c>
      <c r="M10" s="809">
        <v>2</v>
      </c>
      <c r="N10" s="537">
        <f t="shared" si="2"/>
        <v>702</v>
      </c>
      <c r="O10" s="813">
        <v>1</v>
      </c>
      <c r="P10" s="813">
        <v>33</v>
      </c>
      <c r="Q10" s="809">
        <v>64</v>
      </c>
      <c r="R10" s="809">
        <v>265</v>
      </c>
      <c r="S10" s="809">
        <v>339</v>
      </c>
      <c r="T10" s="785">
        <f t="shared" si="0"/>
        <v>762</v>
      </c>
      <c r="U10" s="810">
        <f t="shared" si="3"/>
        <v>1</v>
      </c>
      <c r="V10" s="810">
        <f t="shared" si="3"/>
        <v>74</v>
      </c>
      <c r="W10" s="810">
        <f t="shared" si="3"/>
        <v>71</v>
      </c>
      <c r="X10" s="810">
        <f t="shared" si="3"/>
        <v>274</v>
      </c>
      <c r="Y10" s="810">
        <f t="shared" si="3"/>
        <v>342</v>
      </c>
      <c r="Z10" s="788"/>
      <c r="AA10" s="788"/>
      <c r="AB10" s="788"/>
      <c r="AC10" s="788"/>
      <c r="AD10" s="51"/>
    </row>
    <row r="11" spans="1:30">
      <c r="A11" s="811" t="s">
        <v>284</v>
      </c>
      <c r="B11" s="537">
        <f t="shared" si="1"/>
        <v>0</v>
      </c>
      <c r="C11" s="537"/>
      <c r="D11" s="537"/>
      <c r="E11" s="537"/>
      <c r="F11" s="537"/>
      <c r="G11" s="537"/>
      <c r="H11" s="537">
        <f t="shared" si="4"/>
        <v>290</v>
      </c>
      <c r="I11" s="809"/>
      <c r="J11" s="809">
        <v>26</v>
      </c>
      <c r="K11" s="809">
        <v>17</v>
      </c>
      <c r="L11" s="809">
        <v>145</v>
      </c>
      <c r="M11" s="809">
        <v>102</v>
      </c>
      <c r="N11" s="537">
        <f t="shared" si="2"/>
        <v>2081</v>
      </c>
      <c r="O11" s="812">
        <v>7</v>
      </c>
      <c r="P11" s="812">
        <v>120</v>
      </c>
      <c r="Q11" s="537">
        <v>133</v>
      </c>
      <c r="R11" s="537">
        <v>772</v>
      </c>
      <c r="S11" s="537">
        <v>1049</v>
      </c>
      <c r="T11" s="785">
        <f t="shared" si="0"/>
        <v>2371</v>
      </c>
      <c r="U11" s="810">
        <f t="shared" si="3"/>
        <v>7</v>
      </c>
      <c r="V11" s="810">
        <f t="shared" si="3"/>
        <v>146</v>
      </c>
      <c r="W11" s="810">
        <f t="shared" si="3"/>
        <v>150</v>
      </c>
      <c r="X11" s="810">
        <f t="shared" si="3"/>
        <v>917</v>
      </c>
      <c r="Y11" s="810">
        <f t="shared" si="3"/>
        <v>1151</v>
      </c>
      <c r="Z11" s="788"/>
      <c r="AA11" s="788"/>
      <c r="AB11" s="788"/>
      <c r="AC11" s="788"/>
      <c r="AD11" s="51"/>
    </row>
    <row r="12" spans="1:30">
      <c r="A12" s="811" t="s">
        <v>285</v>
      </c>
      <c r="B12" s="537">
        <f t="shared" si="1"/>
        <v>19</v>
      </c>
      <c r="C12" s="537"/>
      <c r="D12" s="537"/>
      <c r="E12" s="537">
        <v>4</v>
      </c>
      <c r="F12" s="537"/>
      <c r="G12" s="537">
        <v>15</v>
      </c>
      <c r="H12" s="537">
        <f t="shared" si="4"/>
        <v>0</v>
      </c>
      <c r="I12" s="809"/>
      <c r="J12" s="809"/>
      <c r="K12" s="809"/>
      <c r="L12" s="809"/>
      <c r="M12" s="809"/>
      <c r="N12" s="537">
        <f t="shared" si="2"/>
        <v>1203</v>
      </c>
      <c r="O12" s="812">
        <v>2</v>
      </c>
      <c r="P12" s="812">
        <v>46</v>
      </c>
      <c r="Q12" s="537">
        <v>43</v>
      </c>
      <c r="R12" s="537">
        <v>411</v>
      </c>
      <c r="S12" s="537">
        <v>701</v>
      </c>
      <c r="T12" s="785">
        <f t="shared" si="0"/>
        <v>1222</v>
      </c>
      <c r="U12" s="810">
        <f t="shared" si="3"/>
        <v>2</v>
      </c>
      <c r="V12" s="810">
        <f t="shared" si="3"/>
        <v>46</v>
      </c>
      <c r="W12" s="810">
        <f t="shared" si="3"/>
        <v>47</v>
      </c>
      <c r="X12" s="810">
        <f t="shared" si="3"/>
        <v>411</v>
      </c>
      <c r="Y12" s="810">
        <f t="shared" si="3"/>
        <v>716</v>
      </c>
      <c r="Z12" s="788"/>
      <c r="AA12" s="788"/>
      <c r="AB12" s="788"/>
      <c r="AC12" s="788"/>
      <c r="AD12" s="51"/>
    </row>
    <row r="13" spans="1:30">
      <c r="A13" s="811" t="s">
        <v>286</v>
      </c>
      <c r="B13" s="537">
        <f t="shared" si="1"/>
        <v>41</v>
      </c>
      <c r="C13" s="537"/>
      <c r="D13" s="537">
        <v>7</v>
      </c>
      <c r="E13" s="537">
        <v>8</v>
      </c>
      <c r="F13" s="812">
        <v>19</v>
      </c>
      <c r="G13" s="812">
        <v>7</v>
      </c>
      <c r="H13" s="537">
        <f t="shared" si="4"/>
        <v>0</v>
      </c>
      <c r="I13" s="809"/>
      <c r="J13" s="809"/>
      <c r="K13" s="809"/>
      <c r="L13" s="809"/>
      <c r="M13" s="809"/>
      <c r="N13" s="537">
        <f t="shared" si="2"/>
        <v>448</v>
      </c>
      <c r="O13" s="812">
        <v>14</v>
      </c>
      <c r="P13" s="812">
        <v>54</v>
      </c>
      <c r="Q13" s="537">
        <v>84</v>
      </c>
      <c r="R13" s="537">
        <v>139</v>
      </c>
      <c r="S13" s="537">
        <v>157</v>
      </c>
      <c r="T13" s="785">
        <f t="shared" si="0"/>
        <v>489</v>
      </c>
      <c r="U13" s="810">
        <f t="shared" si="3"/>
        <v>14</v>
      </c>
      <c r="V13" s="810">
        <f t="shared" si="3"/>
        <v>61</v>
      </c>
      <c r="W13" s="810">
        <f t="shared" si="3"/>
        <v>92</v>
      </c>
      <c r="X13" s="810">
        <f t="shared" si="3"/>
        <v>158</v>
      </c>
      <c r="Y13" s="810">
        <f t="shared" si="3"/>
        <v>164</v>
      </c>
      <c r="Z13" s="788"/>
      <c r="AA13" s="788"/>
      <c r="AB13" s="788"/>
      <c r="AC13" s="788"/>
      <c r="AD13" s="51"/>
    </row>
    <row r="14" spans="1:30">
      <c r="A14" s="811" t="s">
        <v>287</v>
      </c>
      <c r="B14" s="537">
        <f t="shared" si="1"/>
        <v>0</v>
      </c>
      <c r="C14" s="537"/>
      <c r="D14" s="537"/>
      <c r="E14" s="537"/>
      <c r="F14" s="812"/>
      <c r="G14" s="812"/>
      <c r="H14" s="537">
        <f t="shared" si="4"/>
        <v>0</v>
      </c>
      <c r="I14" s="809"/>
      <c r="J14" s="809"/>
      <c r="K14" s="809"/>
      <c r="L14" s="809"/>
      <c r="M14" s="809"/>
      <c r="N14" s="537">
        <f t="shared" si="2"/>
        <v>406</v>
      </c>
      <c r="O14" s="812"/>
      <c r="P14" s="812">
        <v>10</v>
      </c>
      <c r="Q14" s="537">
        <v>14</v>
      </c>
      <c r="R14" s="537">
        <v>200</v>
      </c>
      <c r="S14" s="537">
        <v>182</v>
      </c>
      <c r="T14" s="785">
        <f t="shared" si="0"/>
        <v>406</v>
      </c>
      <c r="U14" s="810">
        <f t="shared" si="3"/>
        <v>0</v>
      </c>
      <c r="V14" s="810">
        <f t="shared" si="3"/>
        <v>10</v>
      </c>
      <c r="W14" s="810">
        <f t="shared" si="3"/>
        <v>14</v>
      </c>
      <c r="X14" s="810">
        <f t="shared" si="3"/>
        <v>200</v>
      </c>
      <c r="Y14" s="810">
        <f t="shared" si="3"/>
        <v>182</v>
      </c>
      <c r="Z14" s="788"/>
      <c r="AA14" s="788"/>
      <c r="AB14" s="788"/>
      <c r="AC14" s="788"/>
      <c r="AD14" s="51"/>
    </row>
    <row r="15" spans="1:30">
      <c r="A15" s="811" t="s">
        <v>288</v>
      </c>
      <c r="B15" s="537">
        <f t="shared" si="1"/>
        <v>0</v>
      </c>
      <c r="C15" s="537"/>
      <c r="D15" s="537"/>
      <c r="E15" s="537"/>
      <c r="F15" s="812"/>
      <c r="G15" s="812"/>
      <c r="H15" s="537">
        <f t="shared" si="4"/>
        <v>0</v>
      </c>
      <c r="I15" s="809"/>
      <c r="J15" s="809"/>
      <c r="K15" s="809"/>
      <c r="L15" s="809"/>
      <c r="M15" s="809"/>
      <c r="N15" s="537">
        <f t="shared" si="2"/>
        <v>650</v>
      </c>
      <c r="O15" s="809">
        <v>4</v>
      </c>
      <c r="P15" s="809">
        <v>88</v>
      </c>
      <c r="Q15" s="809">
        <v>36</v>
      </c>
      <c r="R15" s="809">
        <v>339</v>
      </c>
      <c r="S15" s="809">
        <v>183</v>
      </c>
      <c r="T15" s="785">
        <f t="shared" si="0"/>
        <v>650</v>
      </c>
      <c r="U15" s="810">
        <f t="shared" si="3"/>
        <v>4</v>
      </c>
      <c r="V15" s="810">
        <f t="shared" si="3"/>
        <v>88</v>
      </c>
      <c r="W15" s="810">
        <f t="shared" si="3"/>
        <v>36</v>
      </c>
      <c r="X15" s="810">
        <f t="shared" si="3"/>
        <v>339</v>
      </c>
      <c r="Y15" s="810">
        <f t="shared" si="3"/>
        <v>183</v>
      </c>
      <c r="Z15" s="788"/>
      <c r="AA15" s="788"/>
      <c r="AB15" s="788"/>
      <c r="AC15" s="788"/>
      <c r="AD15" s="51"/>
    </row>
    <row r="16" spans="1:30">
      <c r="A16" s="811" t="s">
        <v>289</v>
      </c>
      <c r="B16" s="537">
        <f t="shared" si="1"/>
        <v>24</v>
      </c>
      <c r="C16" s="537"/>
      <c r="D16" s="537">
        <v>2</v>
      </c>
      <c r="E16" s="537">
        <v>2</v>
      </c>
      <c r="F16" s="812">
        <v>11</v>
      </c>
      <c r="G16" s="812">
        <v>9</v>
      </c>
      <c r="H16" s="537">
        <f t="shared" si="4"/>
        <v>0</v>
      </c>
      <c r="I16" s="809"/>
      <c r="J16" s="809"/>
      <c r="K16" s="809"/>
      <c r="L16" s="809"/>
      <c r="M16" s="809"/>
      <c r="N16" s="537">
        <f t="shared" si="2"/>
        <v>789</v>
      </c>
      <c r="O16" s="537">
        <v>2</v>
      </c>
      <c r="P16" s="537">
        <v>41</v>
      </c>
      <c r="Q16" s="537">
        <v>44</v>
      </c>
      <c r="R16" s="537">
        <v>402</v>
      </c>
      <c r="S16" s="537">
        <v>300</v>
      </c>
      <c r="T16" s="785">
        <f t="shared" si="0"/>
        <v>813</v>
      </c>
      <c r="U16" s="810">
        <f t="shared" si="3"/>
        <v>2</v>
      </c>
      <c r="V16" s="810">
        <f t="shared" si="3"/>
        <v>43</v>
      </c>
      <c r="W16" s="810">
        <f t="shared" si="3"/>
        <v>46</v>
      </c>
      <c r="X16" s="810">
        <f t="shared" si="3"/>
        <v>413</v>
      </c>
      <c r="Y16" s="810">
        <f t="shared" si="3"/>
        <v>309</v>
      </c>
      <c r="Z16" s="788"/>
      <c r="AA16" s="788"/>
      <c r="AB16" s="788"/>
      <c r="AC16" s="788"/>
      <c r="AD16" s="51"/>
    </row>
    <row r="17" spans="1:30">
      <c r="A17" s="811" t="s">
        <v>290</v>
      </c>
      <c r="B17" s="537">
        <f t="shared" si="1"/>
        <v>111</v>
      </c>
      <c r="C17" s="537">
        <v>2</v>
      </c>
      <c r="D17" s="537">
        <v>8</v>
      </c>
      <c r="E17" s="537">
        <v>14</v>
      </c>
      <c r="F17" s="537">
        <v>47</v>
      </c>
      <c r="G17" s="537">
        <v>40</v>
      </c>
      <c r="H17" s="537">
        <f t="shared" si="4"/>
        <v>0</v>
      </c>
      <c r="I17" s="809"/>
      <c r="J17" s="809"/>
      <c r="K17" s="809"/>
      <c r="L17" s="809"/>
      <c r="M17" s="809"/>
      <c r="N17" s="537">
        <f t="shared" si="2"/>
        <v>181</v>
      </c>
      <c r="O17" s="537">
        <v>4</v>
      </c>
      <c r="P17" s="537">
        <v>11</v>
      </c>
      <c r="Q17" s="537">
        <v>30</v>
      </c>
      <c r="R17" s="537">
        <v>71</v>
      </c>
      <c r="S17" s="537">
        <v>65</v>
      </c>
      <c r="T17" s="785">
        <f t="shared" si="0"/>
        <v>292</v>
      </c>
      <c r="U17" s="810">
        <f t="shared" si="3"/>
        <v>6</v>
      </c>
      <c r="V17" s="810">
        <f t="shared" si="3"/>
        <v>19</v>
      </c>
      <c r="W17" s="810">
        <f t="shared" si="3"/>
        <v>44</v>
      </c>
      <c r="X17" s="810">
        <f t="shared" si="3"/>
        <v>118</v>
      </c>
      <c r="Y17" s="810">
        <f t="shared" si="3"/>
        <v>105</v>
      </c>
      <c r="Z17" s="788"/>
      <c r="AA17" s="788"/>
      <c r="AB17" s="788"/>
      <c r="AC17" s="788"/>
      <c r="AD17" s="51"/>
    </row>
    <row r="18" spans="1:30">
      <c r="A18" s="811" t="s">
        <v>291</v>
      </c>
      <c r="B18" s="537">
        <f t="shared" si="1"/>
        <v>6</v>
      </c>
      <c r="C18" s="812"/>
      <c r="D18" s="812"/>
      <c r="E18" s="812">
        <v>6</v>
      </c>
      <c r="F18" s="812"/>
      <c r="G18" s="812"/>
      <c r="H18" s="537">
        <f t="shared" si="4"/>
        <v>983</v>
      </c>
      <c r="I18" s="809"/>
      <c r="J18" s="809">
        <v>255</v>
      </c>
      <c r="K18" s="809">
        <v>6</v>
      </c>
      <c r="L18" s="809">
        <v>309</v>
      </c>
      <c r="M18" s="809">
        <v>413</v>
      </c>
      <c r="N18" s="537">
        <f t="shared" si="2"/>
        <v>641</v>
      </c>
      <c r="O18" s="809"/>
      <c r="P18" s="809">
        <v>8</v>
      </c>
      <c r="Q18" s="809">
        <v>13</v>
      </c>
      <c r="R18" s="809">
        <v>220</v>
      </c>
      <c r="S18" s="809">
        <v>400</v>
      </c>
      <c r="T18" s="785">
        <f t="shared" si="0"/>
        <v>1630</v>
      </c>
      <c r="U18" s="810">
        <f t="shared" si="3"/>
        <v>0</v>
      </c>
      <c r="V18" s="810">
        <f t="shared" si="3"/>
        <v>263</v>
      </c>
      <c r="W18" s="810">
        <f t="shared" si="3"/>
        <v>25</v>
      </c>
      <c r="X18" s="810">
        <f t="shared" si="3"/>
        <v>529</v>
      </c>
      <c r="Y18" s="810">
        <f t="shared" si="3"/>
        <v>813</v>
      </c>
      <c r="Z18" s="788"/>
      <c r="AA18" s="788"/>
      <c r="AB18" s="788"/>
      <c r="AC18" s="788"/>
      <c r="AD18" s="51"/>
    </row>
    <row r="19" spans="1:30">
      <c r="A19" s="811" t="s">
        <v>292</v>
      </c>
      <c r="B19" s="812">
        <f t="shared" si="1"/>
        <v>0</v>
      </c>
      <c r="C19" s="812"/>
      <c r="D19" s="812"/>
      <c r="E19" s="812"/>
      <c r="F19" s="812"/>
      <c r="G19" s="812"/>
      <c r="H19" s="537">
        <f t="shared" si="4"/>
        <v>383</v>
      </c>
      <c r="I19" s="809"/>
      <c r="J19" s="809">
        <v>1</v>
      </c>
      <c r="K19" s="809">
        <v>3</v>
      </c>
      <c r="L19" s="813">
        <v>171</v>
      </c>
      <c r="M19" s="809">
        <v>208</v>
      </c>
      <c r="N19" s="537">
        <f t="shared" si="2"/>
        <v>520</v>
      </c>
      <c r="O19" s="809"/>
      <c r="P19" s="809">
        <v>5</v>
      </c>
      <c r="Q19" s="809">
        <v>27</v>
      </c>
      <c r="R19" s="809">
        <v>211</v>
      </c>
      <c r="S19" s="809">
        <v>277</v>
      </c>
      <c r="T19" s="785">
        <f t="shared" si="0"/>
        <v>903</v>
      </c>
      <c r="U19" s="810">
        <f t="shared" si="3"/>
        <v>0</v>
      </c>
      <c r="V19" s="810">
        <f t="shared" si="3"/>
        <v>6</v>
      </c>
      <c r="W19" s="810">
        <f t="shared" si="3"/>
        <v>30</v>
      </c>
      <c r="X19" s="810">
        <f t="shared" si="3"/>
        <v>382</v>
      </c>
      <c r="Y19" s="810">
        <f t="shared" si="3"/>
        <v>485</v>
      </c>
      <c r="Z19" s="788"/>
      <c r="AA19" s="788"/>
      <c r="AB19" s="788"/>
      <c r="AC19" s="788"/>
      <c r="AD19" s="51"/>
    </row>
    <row r="20" spans="1:30">
      <c r="A20" s="814" t="s">
        <v>293</v>
      </c>
      <c r="B20" s="815">
        <f t="shared" si="1"/>
        <v>125</v>
      </c>
      <c r="C20" s="812"/>
      <c r="D20" s="812">
        <v>11</v>
      </c>
      <c r="E20" s="812">
        <v>13</v>
      </c>
      <c r="F20" s="812">
        <v>52</v>
      </c>
      <c r="G20" s="812">
        <v>49</v>
      </c>
      <c r="H20" s="537">
        <f t="shared" si="4"/>
        <v>0</v>
      </c>
      <c r="I20" s="809"/>
      <c r="J20" s="809"/>
      <c r="K20" s="809"/>
      <c r="L20" s="809"/>
      <c r="M20" s="809"/>
      <c r="N20" s="537">
        <f t="shared" si="2"/>
        <v>773</v>
      </c>
      <c r="O20" s="537">
        <v>2</v>
      </c>
      <c r="P20" s="537">
        <v>22</v>
      </c>
      <c r="Q20" s="537">
        <v>64</v>
      </c>
      <c r="R20" s="537">
        <v>344</v>
      </c>
      <c r="S20" s="537">
        <v>341</v>
      </c>
      <c r="T20" s="785">
        <f t="shared" si="0"/>
        <v>898</v>
      </c>
      <c r="U20" s="810">
        <f t="shared" si="3"/>
        <v>2</v>
      </c>
      <c r="V20" s="810">
        <f t="shared" si="3"/>
        <v>33</v>
      </c>
      <c r="W20" s="810">
        <f t="shared" si="3"/>
        <v>77</v>
      </c>
      <c r="X20" s="810">
        <f t="shared" si="3"/>
        <v>396</v>
      </c>
      <c r="Y20" s="810">
        <f t="shared" si="3"/>
        <v>390</v>
      </c>
      <c r="Z20" s="788"/>
      <c r="AA20" s="788"/>
      <c r="AB20" s="788"/>
      <c r="AC20" s="788"/>
      <c r="AD20" s="51"/>
    </row>
    <row r="21" spans="1:30">
      <c r="A21" s="740" t="s">
        <v>296</v>
      </c>
      <c r="B21" s="537">
        <f t="shared" ref="B21:Y21" si="5">SUM(B7:B20)</f>
        <v>510</v>
      </c>
      <c r="C21" s="537">
        <f t="shared" si="5"/>
        <v>2</v>
      </c>
      <c r="D21" s="537">
        <f t="shared" si="5"/>
        <v>33</v>
      </c>
      <c r="E21" s="537">
        <f t="shared" si="5"/>
        <v>57</v>
      </c>
      <c r="F21" s="537">
        <f t="shared" si="5"/>
        <v>186</v>
      </c>
      <c r="G21" s="537">
        <f t="shared" si="5"/>
        <v>232</v>
      </c>
      <c r="H21" s="537">
        <f t="shared" si="5"/>
        <v>1710</v>
      </c>
      <c r="I21" s="537">
        <f t="shared" si="5"/>
        <v>0</v>
      </c>
      <c r="J21" s="537">
        <f t="shared" si="5"/>
        <v>322</v>
      </c>
      <c r="K21" s="537">
        <f t="shared" si="5"/>
        <v>33</v>
      </c>
      <c r="L21" s="537">
        <f t="shared" si="5"/>
        <v>630</v>
      </c>
      <c r="M21" s="537">
        <f t="shared" si="5"/>
        <v>725</v>
      </c>
      <c r="N21" s="537">
        <f t="shared" si="5"/>
        <v>11942</v>
      </c>
      <c r="O21" s="537">
        <f>SUM(O7:O20)</f>
        <v>46</v>
      </c>
      <c r="P21" s="537">
        <f t="shared" si="5"/>
        <v>599</v>
      </c>
      <c r="Q21" s="537">
        <f>SUM(Q7:Q20)</f>
        <v>735</v>
      </c>
      <c r="R21" s="537">
        <f t="shared" si="5"/>
        <v>5099</v>
      </c>
      <c r="S21" s="537">
        <f t="shared" si="5"/>
        <v>5463</v>
      </c>
      <c r="T21" s="812">
        <f t="shared" si="5"/>
        <v>14162</v>
      </c>
      <c r="U21" s="537">
        <f t="shared" si="5"/>
        <v>48</v>
      </c>
      <c r="V21" s="537">
        <f t="shared" si="5"/>
        <v>954</v>
      </c>
      <c r="W21" s="537">
        <f t="shared" si="5"/>
        <v>825</v>
      </c>
      <c r="X21" s="537">
        <f t="shared" si="5"/>
        <v>5915</v>
      </c>
      <c r="Y21" s="537">
        <f t="shared" si="5"/>
        <v>6420</v>
      </c>
      <c r="Z21" s="788"/>
      <c r="AA21" s="788"/>
      <c r="AB21" s="788"/>
      <c r="AC21" s="788"/>
      <c r="AD21" s="51"/>
    </row>
    <row r="22" spans="1:30">
      <c r="A22" s="294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816"/>
      <c r="P22" s="816"/>
      <c r="Q22" s="816"/>
      <c r="R22" s="816"/>
      <c r="S22" s="816"/>
      <c r="T22" s="817"/>
      <c r="U22" s="816"/>
      <c r="V22" s="816"/>
      <c r="W22" s="816"/>
      <c r="X22" s="816"/>
      <c r="Y22" s="816"/>
      <c r="Z22" s="788"/>
      <c r="AA22" s="788"/>
      <c r="AB22" s="788"/>
      <c r="AC22" s="788"/>
      <c r="AD22" s="51"/>
    </row>
    <row r="23" spans="1:30">
      <c r="A23" s="816"/>
      <c r="B23" s="816"/>
      <c r="C23" s="307"/>
      <c r="D23" s="307"/>
      <c r="E23" s="307"/>
      <c r="F23" s="307"/>
      <c r="G23" s="307"/>
      <c r="H23" s="816"/>
      <c r="I23" s="307"/>
      <c r="J23" s="307"/>
      <c r="K23" s="307"/>
      <c r="L23" s="307"/>
      <c r="M23" s="307"/>
      <c r="N23" s="816"/>
      <c r="O23" s="307"/>
      <c r="P23" s="88"/>
      <c r="Q23" s="88"/>
      <c r="R23" s="88"/>
      <c r="S23" s="88"/>
      <c r="T23" s="788"/>
      <c r="U23" s="788"/>
      <c r="V23" s="788"/>
      <c r="W23" s="788"/>
      <c r="X23" s="788"/>
      <c r="Y23" s="788"/>
      <c r="Z23" s="788"/>
      <c r="AA23" s="788"/>
      <c r="AB23" s="788"/>
      <c r="AC23" s="788"/>
      <c r="AD23" s="51"/>
    </row>
    <row r="24" spans="1:30">
      <c r="A24" s="1628" t="s">
        <v>875</v>
      </c>
      <c r="B24" s="1628"/>
      <c r="C24" s="1628"/>
      <c r="D24" s="1628"/>
      <c r="E24" s="1628"/>
      <c r="F24" s="1628"/>
      <c r="G24" s="1628"/>
      <c r="H24" s="1628"/>
      <c r="I24" s="1628"/>
      <c r="J24" s="1628"/>
      <c r="K24" s="1628"/>
      <c r="L24" s="1628"/>
      <c r="M24" s="1628"/>
      <c r="N24" s="1628"/>
      <c r="O24" s="1628"/>
      <c r="P24" s="95"/>
      <c r="Q24" s="95"/>
      <c r="R24" s="95"/>
      <c r="S24" s="95"/>
      <c r="T24" s="95"/>
      <c r="U24" s="95"/>
      <c r="V24" s="788"/>
      <c r="W24" s="788"/>
      <c r="X24" s="788"/>
      <c r="Y24" s="788"/>
      <c r="Z24" s="788"/>
      <c r="AA24" s="788"/>
      <c r="AB24" s="788"/>
      <c r="AC24" s="788"/>
      <c r="AD24" s="51"/>
    </row>
    <row r="25" spans="1:30">
      <c r="A25" s="819"/>
      <c r="B25" s="820"/>
      <c r="C25" s="84"/>
      <c r="D25" s="84"/>
      <c r="E25" s="84"/>
      <c r="F25" s="84"/>
      <c r="G25" s="84"/>
      <c r="H25" s="84"/>
      <c r="I25" s="84"/>
      <c r="J25" s="820"/>
      <c r="K25" s="820"/>
      <c r="L25" s="820"/>
      <c r="M25" s="820"/>
      <c r="N25" s="820"/>
      <c r="O25" s="820"/>
      <c r="P25" s="88"/>
      <c r="Q25" s="88"/>
      <c r="R25" s="88"/>
      <c r="S25" s="88"/>
      <c r="T25" s="788"/>
      <c r="U25" s="788"/>
      <c r="V25" s="788"/>
      <c r="W25" s="788"/>
      <c r="X25" s="788"/>
      <c r="Y25" s="788"/>
      <c r="Z25" s="788"/>
      <c r="AA25" s="788"/>
      <c r="AB25" s="788"/>
      <c r="AC25" s="788"/>
      <c r="AD25" s="51"/>
    </row>
    <row r="26" spans="1:30">
      <c r="A26" s="821"/>
      <c r="B26" s="822"/>
      <c r="C26" s="822"/>
      <c r="D26" s="822"/>
      <c r="E26" s="822"/>
      <c r="F26" s="818"/>
      <c r="G26" s="822"/>
      <c r="H26" s="822"/>
      <c r="I26" s="822"/>
      <c r="J26" s="822"/>
      <c r="K26" s="822"/>
      <c r="L26" s="823"/>
      <c r="M26" s="824" t="s">
        <v>876</v>
      </c>
      <c r="N26" s="824"/>
      <c r="O26" s="824"/>
      <c r="P26" s="88"/>
      <c r="Q26" s="88"/>
      <c r="R26" s="88"/>
      <c r="S26" s="88"/>
      <c r="T26" s="788"/>
      <c r="U26" s="788"/>
      <c r="V26" s="788"/>
      <c r="W26" s="788"/>
      <c r="X26" s="788"/>
      <c r="Y26" s="788"/>
      <c r="Z26" s="788"/>
      <c r="AA26" s="788"/>
      <c r="AB26" s="788"/>
      <c r="AC26" s="788"/>
      <c r="AD26" s="51"/>
    </row>
    <row r="27" spans="1:30" ht="30" customHeight="1">
      <c r="A27" s="1561" t="s">
        <v>176</v>
      </c>
      <c r="B27" s="1561" t="s">
        <v>747</v>
      </c>
      <c r="C27" s="1561" t="s">
        <v>874</v>
      </c>
      <c r="D27" s="1630" t="s">
        <v>877</v>
      </c>
      <c r="E27" s="1631"/>
      <c r="F27" s="1631"/>
      <c r="G27" s="1631"/>
      <c r="H27" s="1632"/>
      <c r="I27" s="825" t="s">
        <v>878</v>
      </c>
      <c r="J27" s="805"/>
      <c r="K27" s="1604" t="s">
        <v>879</v>
      </c>
      <c r="L27" s="1610"/>
      <c r="M27" s="1605"/>
      <c r="N27" s="1561" t="s">
        <v>1573</v>
      </c>
      <c r="O27" s="1561" t="s">
        <v>880</v>
      </c>
      <c r="P27" s="1561" t="s">
        <v>874</v>
      </c>
      <c r="Q27" s="1604" t="s">
        <v>881</v>
      </c>
      <c r="R27" s="1610"/>
      <c r="S27" s="1610"/>
      <c r="T27" s="1610"/>
      <c r="U27" s="1605"/>
      <c r="V27" s="788"/>
      <c r="W27" s="788"/>
      <c r="X27" s="788"/>
      <c r="Y27" s="788"/>
      <c r="Z27" s="788"/>
      <c r="AA27" s="788"/>
      <c r="AB27" s="788"/>
      <c r="AC27" s="788"/>
      <c r="AD27" s="51"/>
    </row>
    <row r="28" spans="1:30" ht="25.5">
      <c r="A28" s="1563"/>
      <c r="B28" s="1563"/>
      <c r="C28" s="1563"/>
      <c r="D28" s="785" t="s">
        <v>768</v>
      </c>
      <c r="E28" s="785" t="s">
        <v>769</v>
      </c>
      <c r="F28" s="785" t="s">
        <v>770</v>
      </c>
      <c r="G28" s="785" t="s">
        <v>791</v>
      </c>
      <c r="H28" s="785" t="s">
        <v>792</v>
      </c>
      <c r="I28" s="537">
        <v>2012</v>
      </c>
      <c r="J28" s="537">
        <v>2011</v>
      </c>
      <c r="K28" s="537" t="s">
        <v>882</v>
      </c>
      <c r="L28" s="537" t="s">
        <v>883</v>
      </c>
      <c r="M28" s="537" t="s">
        <v>273</v>
      </c>
      <c r="N28" s="1563"/>
      <c r="O28" s="1563"/>
      <c r="P28" s="1563"/>
      <c r="Q28" s="537" t="s">
        <v>762</v>
      </c>
      <c r="R28" s="537" t="s">
        <v>763</v>
      </c>
      <c r="S28" s="537" t="s">
        <v>764</v>
      </c>
      <c r="T28" s="498" t="s">
        <v>884</v>
      </c>
      <c r="U28" s="498" t="s">
        <v>885</v>
      </c>
      <c r="V28" s="788"/>
      <c r="W28" s="537">
        <v>33</v>
      </c>
      <c r="X28" s="809">
        <f>SUM(Y28:AC28)</f>
        <v>40</v>
      </c>
      <c r="Y28" s="809"/>
      <c r="Z28" s="537"/>
      <c r="AA28" s="537">
        <v>1</v>
      </c>
      <c r="AB28" s="90">
        <v>22</v>
      </c>
      <c r="AC28" s="90">
        <v>17</v>
      </c>
      <c r="AD28" s="51"/>
    </row>
    <row r="29" spans="1:30" ht="15.75" customHeight="1">
      <c r="A29" s="808" t="s">
        <v>280</v>
      </c>
      <c r="B29" s="1187">
        <v>3140</v>
      </c>
      <c r="C29" s="813">
        <f t="shared" ref="C29:C34" si="6">SUM(D29:H29)</f>
        <v>1310</v>
      </c>
      <c r="D29" s="809">
        <f t="shared" ref="D29:H30" si="7">U7</f>
        <v>3</v>
      </c>
      <c r="E29" s="809">
        <f t="shared" si="7"/>
        <v>92</v>
      </c>
      <c r="F29" s="809">
        <f t="shared" si="7"/>
        <v>89</v>
      </c>
      <c r="G29" s="809">
        <f t="shared" si="7"/>
        <v>653</v>
      </c>
      <c r="H29" s="809">
        <f t="shared" si="7"/>
        <v>473</v>
      </c>
      <c r="I29" s="1188">
        <f t="shared" ref="I29:I43" si="8">(C29/N29)*100</f>
        <v>1.1583694402688125</v>
      </c>
      <c r="J29" s="1188">
        <f>(B29/O29)*100</f>
        <v>3.0718059088241048</v>
      </c>
      <c r="K29" s="785">
        <f>B7</f>
        <v>123</v>
      </c>
      <c r="L29" s="785">
        <f>H7</f>
        <v>0</v>
      </c>
      <c r="M29" s="785">
        <f>N7</f>
        <v>1187</v>
      </c>
      <c r="N29" s="785">
        <v>113090</v>
      </c>
      <c r="O29" s="785">
        <v>102220</v>
      </c>
      <c r="P29" s="1189">
        <f>SUM(Q29:U29)</f>
        <v>529</v>
      </c>
      <c r="Q29" s="1201"/>
      <c r="R29" s="1187">
        <v>34</v>
      </c>
      <c r="S29" s="1187">
        <v>42</v>
      </c>
      <c r="T29" s="1187">
        <v>260</v>
      </c>
      <c r="U29" s="1187">
        <v>193</v>
      </c>
      <c r="V29" s="99"/>
      <c r="W29" s="537">
        <v>21</v>
      </c>
      <c r="X29" s="809">
        <f>SUM(Y29:AC29)</f>
        <v>571</v>
      </c>
      <c r="Y29" s="809"/>
      <c r="Z29" s="90"/>
      <c r="AA29" s="90"/>
      <c r="AB29" s="90">
        <v>459</v>
      </c>
      <c r="AC29" s="90">
        <v>112</v>
      </c>
      <c r="AD29" s="51"/>
    </row>
    <row r="30" spans="1:30" ht="15.75" customHeight="1">
      <c r="A30" s="811" t="s">
        <v>281</v>
      </c>
      <c r="B30" s="1190">
        <v>124</v>
      </c>
      <c r="C30" s="1191">
        <f t="shared" si="6"/>
        <v>1292</v>
      </c>
      <c r="D30" s="809">
        <f t="shared" si="7"/>
        <v>3</v>
      </c>
      <c r="E30" s="809">
        <f t="shared" si="7"/>
        <v>30</v>
      </c>
      <c r="F30" s="809">
        <f t="shared" si="7"/>
        <v>46</v>
      </c>
      <c r="G30" s="809">
        <f t="shared" si="7"/>
        <v>733</v>
      </c>
      <c r="H30" s="809">
        <f t="shared" si="7"/>
        <v>480</v>
      </c>
      <c r="I30" s="1192">
        <f t="shared" si="8"/>
        <v>1.6560917772223289</v>
      </c>
      <c r="J30" s="1188">
        <f t="shared" ref="J30:J42" si="9">(B30/O30)*100</f>
        <v>0.15919478251938582</v>
      </c>
      <c r="K30" s="785">
        <f>B8</f>
        <v>55</v>
      </c>
      <c r="L30" s="785">
        <f>H8</f>
        <v>0</v>
      </c>
      <c r="M30" s="785">
        <f>N8</f>
        <v>1237</v>
      </c>
      <c r="N30" s="537">
        <v>78015</v>
      </c>
      <c r="O30" s="537">
        <v>77892</v>
      </c>
      <c r="P30" s="1189">
        <f t="shared" ref="P30:P42" si="10">SUM(Q30:U30)</f>
        <v>1</v>
      </c>
      <c r="Q30" s="1201">
        <v>1</v>
      </c>
      <c r="R30" s="1187"/>
      <c r="S30" s="1187"/>
      <c r="T30" s="1187"/>
      <c r="U30" s="1187"/>
      <c r="V30" s="99"/>
      <c r="W30" s="537">
        <v>0</v>
      </c>
      <c r="X30" s="809">
        <f>SUM(Y30:AC30)</f>
        <v>42</v>
      </c>
      <c r="Y30" s="809">
        <v>2</v>
      </c>
      <c r="Z30" s="90">
        <v>6</v>
      </c>
      <c r="AA30" s="90">
        <v>7</v>
      </c>
      <c r="AB30" s="90">
        <v>15</v>
      </c>
      <c r="AC30" s="90">
        <v>12</v>
      </c>
      <c r="AD30" s="51"/>
    </row>
    <row r="31" spans="1:30" ht="15.75" customHeight="1">
      <c r="A31" s="811" t="s">
        <v>282</v>
      </c>
      <c r="B31" s="1190">
        <v>193</v>
      </c>
      <c r="C31" s="809">
        <f t="shared" si="6"/>
        <v>1124</v>
      </c>
      <c r="D31" s="809">
        <f>U9</f>
        <v>4</v>
      </c>
      <c r="E31" s="809">
        <f>V9</f>
        <v>43</v>
      </c>
      <c r="F31" s="809">
        <f>W9</f>
        <v>58</v>
      </c>
      <c r="G31" s="809">
        <f>X9</f>
        <v>392</v>
      </c>
      <c r="H31" s="809">
        <f>Y9</f>
        <v>627</v>
      </c>
      <c r="I31" s="1192">
        <f t="shared" si="8"/>
        <v>1.6032635828091346</v>
      </c>
      <c r="J31" s="1188">
        <f t="shared" si="9"/>
        <v>0.29649885548369254</v>
      </c>
      <c r="K31" s="785">
        <f t="shared" ref="K31:K42" si="11">B9</f>
        <v>0</v>
      </c>
      <c r="L31" s="785">
        <f t="shared" ref="L31:L42" si="12">H9</f>
        <v>0</v>
      </c>
      <c r="M31" s="785">
        <f t="shared" ref="M31:M42" si="13">N9</f>
        <v>1124</v>
      </c>
      <c r="N31" s="537">
        <v>70107</v>
      </c>
      <c r="O31" s="537">
        <v>65093</v>
      </c>
      <c r="P31" s="1189">
        <f t="shared" si="10"/>
        <v>139</v>
      </c>
      <c r="Q31" s="1201">
        <v>1</v>
      </c>
      <c r="R31" s="1187">
        <v>8</v>
      </c>
      <c r="S31" s="1187">
        <v>12</v>
      </c>
      <c r="T31" s="1187">
        <v>69</v>
      </c>
      <c r="U31" s="1187">
        <v>49</v>
      </c>
      <c r="V31" s="99"/>
      <c r="W31" s="537">
        <v>114</v>
      </c>
      <c r="X31" s="809">
        <f>SUM(Y31:AC31)</f>
        <v>5736</v>
      </c>
      <c r="Y31" s="809"/>
      <c r="Z31" s="90">
        <v>173</v>
      </c>
      <c r="AA31" s="90">
        <v>427</v>
      </c>
      <c r="AB31" s="90">
        <v>1909</v>
      </c>
      <c r="AC31" s="90">
        <v>3227</v>
      </c>
      <c r="AD31" s="51"/>
    </row>
    <row r="32" spans="1:30" ht="15.75" customHeight="1">
      <c r="A32" s="811" t="s">
        <v>283</v>
      </c>
      <c r="B32" s="1190">
        <v>156</v>
      </c>
      <c r="C32" s="809">
        <f t="shared" si="6"/>
        <v>762</v>
      </c>
      <c r="D32" s="809">
        <f t="shared" ref="D32:H42" si="14">U10</f>
        <v>1</v>
      </c>
      <c r="E32" s="809">
        <f t="shared" si="14"/>
        <v>74</v>
      </c>
      <c r="F32" s="809">
        <f t="shared" si="14"/>
        <v>71</v>
      </c>
      <c r="G32" s="809">
        <f t="shared" si="14"/>
        <v>274</v>
      </c>
      <c r="H32" s="809">
        <f t="shared" si="14"/>
        <v>342</v>
      </c>
      <c r="I32" s="1192">
        <f t="shared" si="8"/>
        <v>1.2150978297268422</v>
      </c>
      <c r="J32" s="1188">
        <f t="shared" si="9"/>
        <v>0.2698168358787208</v>
      </c>
      <c r="K32" s="785">
        <f t="shared" si="11"/>
        <v>6</v>
      </c>
      <c r="L32" s="785">
        <f t="shared" si="12"/>
        <v>54</v>
      </c>
      <c r="M32" s="785">
        <f t="shared" si="13"/>
        <v>702</v>
      </c>
      <c r="N32" s="537">
        <v>62711</v>
      </c>
      <c r="O32" s="537">
        <v>57817</v>
      </c>
      <c r="P32" s="1189">
        <f t="shared" si="10"/>
        <v>160</v>
      </c>
      <c r="Q32" s="1201">
        <v>1</v>
      </c>
      <c r="R32" s="1187">
        <v>26</v>
      </c>
      <c r="S32" s="1187">
        <v>19</v>
      </c>
      <c r="T32" s="1187">
        <v>50</v>
      </c>
      <c r="U32" s="1187">
        <v>64</v>
      </c>
      <c r="V32" s="788"/>
      <c r="W32" s="537">
        <v>23</v>
      </c>
      <c r="X32" s="809">
        <f>SUM(Y32:AC32)</f>
        <v>191</v>
      </c>
      <c r="Y32" s="809"/>
      <c r="Z32" s="90"/>
      <c r="AA32" s="90">
        <v>6</v>
      </c>
      <c r="AB32" s="90">
        <v>85</v>
      </c>
      <c r="AC32" s="90">
        <v>100</v>
      </c>
      <c r="AD32" s="51"/>
    </row>
    <row r="33" spans="1:30" ht="15.75" customHeight="1">
      <c r="A33" s="811" t="s">
        <v>284</v>
      </c>
      <c r="B33" s="1190">
        <v>105</v>
      </c>
      <c r="C33" s="1191">
        <f t="shared" si="6"/>
        <v>2371</v>
      </c>
      <c r="D33" s="809">
        <f t="shared" si="14"/>
        <v>7</v>
      </c>
      <c r="E33" s="809">
        <f t="shared" si="14"/>
        <v>146</v>
      </c>
      <c r="F33" s="809">
        <f t="shared" si="14"/>
        <v>150</v>
      </c>
      <c r="G33" s="809">
        <f t="shared" si="14"/>
        <v>917</v>
      </c>
      <c r="H33" s="809">
        <f t="shared" si="14"/>
        <v>1151</v>
      </c>
      <c r="I33" s="1192">
        <f t="shared" si="8"/>
        <v>1.4418106855745958</v>
      </c>
      <c r="J33" s="1188">
        <f t="shared" si="9"/>
        <v>6.6799417254607571E-2</v>
      </c>
      <c r="K33" s="785">
        <f t="shared" si="11"/>
        <v>0</v>
      </c>
      <c r="L33" s="785">
        <f t="shared" si="12"/>
        <v>290</v>
      </c>
      <c r="M33" s="785">
        <f t="shared" si="13"/>
        <v>2081</v>
      </c>
      <c r="N33" s="537">
        <v>164446</v>
      </c>
      <c r="O33" s="537">
        <v>157187</v>
      </c>
      <c r="P33" s="1189">
        <f>SUM(Q33:U33)</f>
        <v>816</v>
      </c>
      <c r="Q33" s="1201">
        <v>5</v>
      </c>
      <c r="R33" s="1187">
        <v>52</v>
      </c>
      <c r="S33" s="1187">
        <v>50</v>
      </c>
      <c r="T33" s="1187">
        <v>369</v>
      </c>
      <c r="U33" s="1187">
        <v>340</v>
      </c>
      <c r="V33" s="788"/>
      <c r="W33" s="537">
        <v>18</v>
      </c>
      <c r="X33" s="537">
        <f t="shared" ref="X33:X41" si="15">SUM(Y33:AC33)</f>
        <v>121</v>
      </c>
      <c r="Y33" s="809">
        <v>1</v>
      </c>
      <c r="Z33" s="90">
        <v>5</v>
      </c>
      <c r="AA33" s="90">
        <v>9</v>
      </c>
      <c r="AB33" s="90">
        <v>53</v>
      </c>
      <c r="AC33" s="90">
        <v>53</v>
      </c>
      <c r="AD33" s="51"/>
    </row>
    <row r="34" spans="1:30" ht="15.75" customHeight="1">
      <c r="A34" s="811" t="s">
        <v>285</v>
      </c>
      <c r="B34" s="1190">
        <v>2396</v>
      </c>
      <c r="C34" s="809">
        <f t="shared" si="6"/>
        <v>1222</v>
      </c>
      <c r="D34" s="809">
        <f t="shared" si="14"/>
        <v>2</v>
      </c>
      <c r="E34" s="809">
        <f t="shared" si="14"/>
        <v>46</v>
      </c>
      <c r="F34" s="809">
        <f t="shared" si="14"/>
        <v>47</v>
      </c>
      <c r="G34" s="809">
        <f t="shared" si="14"/>
        <v>411</v>
      </c>
      <c r="H34" s="809">
        <f t="shared" si="14"/>
        <v>716</v>
      </c>
      <c r="I34" s="1192">
        <f t="shared" si="8"/>
        <v>1.4400527940795211</v>
      </c>
      <c r="J34" s="1188">
        <f t="shared" si="9"/>
        <v>2.6470750704303154</v>
      </c>
      <c r="K34" s="785">
        <f t="shared" si="11"/>
        <v>19</v>
      </c>
      <c r="L34" s="785">
        <f t="shared" si="12"/>
        <v>0</v>
      </c>
      <c r="M34" s="785">
        <f t="shared" si="13"/>
        <v>1203</v>
      </c>
      <c r="N34" s="537">
        <v>84858</v>
      </c>
      <c r="O34" s="537">
        <v>90515</v>
      </c>
      <c r="P34" s="1189">
        <f t="shared" si="10"/>
        <v>473</v>
      </c>
      <c r="Q34" s="1201">
        <v>1</v>
      </c>
      <c r="R34" s="1187">
        <v>10</v>
      </c>
      <c r="S34" s="1187">
        <v>20</v>
      </c>
      <c r="T34" s="1187">
        <v>147</v>
      </c>
      <c r="U34" s="1187">
        <v>295</v>
      </c>
      <c r="V34" s="788"/>
      <c r="W34" s="537">
        <v>0</v>
      </c>
      <c r="X34" s="537">
        <f t="shared" si="15"/>
        <v>112</v>
      </c>
      <c r="Y34" s="809"/>
      <c r="Z34" s="90">
        <v>7</v>
      </c>
      <c r="AA34" s="90">
        <v>47</v>
      </c>
      <c r="AB34" s="90">
        <v>38</v>
      </c>
      <c r="AC34" s="90">
        <v>20</v>
      </c>
      <c r="AD34" s="51"/>
    </row>
    <row r="35" spans="1:30" ht="15.75" customHeight="1">
      <c r="A35" s="811" t="s">
        <v>286</v>
      </c>
      <c r="B35" s="1190">
        <v>932</v>
      </c>
      <c r="C35" s="749">
        <f t="shared" ref="C35:C42" si="16">SUM(D35:H35)</f>
        <v>489</v>
      </c>
      <c r="D35" s="809">
        <f t="shared" si="14"/>
        <v>14</v>
      </c>
      <c r="E35" s="809">
        <f t="shared" si="14"/>
        <v>61</v>
      </c>
      <c r="F35" s="809">
        <f t="shared" si="14"/>
        <v>92</v>
      </c>
      <c r="G35" s="809">
        <f t="shared" si="14"/>
        <v>158</v>
      </c>
      <c r="H35" s="809">
        <f t="shared" si="14"/>
        <v>164</v>
      </c>
      <c r="I35" s="1192">
        <f t="shared" si="8"/>
        <v>0.79168488027587547</v>
      </c>
      <c r="J35" s="1188">
        <f t="shared" si="9"/>
        <v>1.4047145354795925</v>
      </c>
      <c r="K35" s="785">
        <f t="shared" si="11"/>
        <v>41</v>
      </c>
      <c r="L35" s="785">
        <f t="shared" si="12"/>
        <v>0</v>
      </c>
      <c r="M35" s="785">
        <f t="shared" si="13"/>
        <v>448</v>
      </c>
      <c r="N35" s="537">
        <v>61767</v>
      </c>
      <c r="O35" s="537">
        <v>66348</v>
      </c>
      <c r="P35" s="1189">
        <f t="shared" si="10"/>
        <v>108</v>
      </c>
      <c r="Q35" s="785">
        <v>4</v>
      </c>
      <c r="R35" s="537">
        <v>11</v>
      </c>
      <c r="S35" s="537">
        <v>13</v>
      </c>
      <c r="T35" s="537">
        <v>57</v>
      </c>
      <c r="U35" s="537">
        <v>23</v>
      </c>
      <c r="V35" s="788"/>
      <c r="W35" s="537">
        <v>8</v>
      </c>
      <c r="X35" s="537">
        <f t="shared" si="15"/>
        <v>25</v>
      </c>
      <c r="Y35" s="809"/>
      <c r="Z35" s="90"/>
      <c r="AA35" s="90">
        <v>22</v>
      </c>
      <c r="AB35" s="90"/>
      <c r="AC35" s="90">
        <v>3</v>
      </c>
      <c r="AD35" s="51"/>
    </row>
    <row r="36" spans="1:30" ht="15.75" customHeight="1">
      <c r="A36" s="811" t="s">
        <v>287</v>
      </c>
      <c r="B36" s="1190">
        <v>206</v>
      </c>
      <c r="C36" s="812">
        <f t="shared" si="16"/>
        <v>406</v>
      </c>
      <c r="D36" s="809">
        <f t="shared" si="14"/>
        <v>0</v>
      </c>
      <c r="E36" s="809">
        <f t="shared" si="14"/>
        <v>10</v>
      </c>
      <c r="F36" s="809">
        <f t="shared" si="14"/>
        <v>14</v>
      </c>
      <c r="G36" s="809">
        <f t="shared" si="14"/>
        <v>200</v>
      </c>
      <c r="H36" s="809">
        <f t="shared" si="14"/>
        <v>182</v>
      </c>
      <c r="I36" s="1192">
        <f t="shared" si="8"/>
        <v>0.61529135409562785</v>
      </c>
      <c r="J36" s="1188">
        <f t="shared" si="9"/>
        <v>0.33996765356305908</v>
      </c>
      <c r="K36" s="785">
        <f t="shared" si="11"/>
        <v>0</v>
      </c>
      <c r="L36" s="785">
        <f t="shared" si="12"/>
        <v>0</v>
      </c>
      <c r="M36" s="785">
        <f t="shared" si="13"/>
        <v>406</v>
      </c>
      <c r="N36" s="537">
        <v>65985</v>
      </c>
      <c r="O36" s="537">
        <v>60594</v>
      </c>
      <c r="P36" s="1189">
        <f t="shared" si="10"/>
        <v>22</v>
      </c>
      <c r="Q36" s="1201"/>
      <c r="R36" s="1187"/>
      <c r="S36" s="1187">
        <v>2</v>
      </c>
      <c r="T36" s="1187">
        <v>14</v>
      </c>
      <c r="U36" s="1187">
        <v>6</v>
      </c>
      <c r="V36" s="788"/>
      <c r="W36" s="537">
        <v>83</v>
      </c>
      <c r="X36" s="537">
        <f t="shared" si="15"/>
        <v>560</v>
      </c>
      <c r="Y36" s="809"/>
      <c r="Z36" s="90">
        <v>18</v>
      </c>
      <c r="AA36" s="90">
        <v>22</v>
      </c>
      <c r="AB36" s="90">
        <v>242</v>
      </c>
      <c r="AC36" s="90">
        <v>278</v>
      </c>
      <c r="AD36" s="51"/>
    </row>
    <row r="37" spans="1:30" ht="15.75" customHeight="1">
      <c r="A37" s="811" t="s">
        <v>288</v>
      </c>
      <c r="B37" s="1190">
        <v>280</v>
      </c>
      <c r="C37" s="812">
        <f t="shared" si="16"/>
        <v>650</v>
      </c>
      <c r="D37" s="809">
        <f t="shared" si="14"/>
        <v>4</v>
      </c>
      <c r="E37" s="809">
        <f t="shared" si="14"/>
        <v>88</v>
      </c>
      <c r="F37" s="809">
        <f t="shared" si="14"/>
        <v>36</v>
      </c>
      <c r="G37" s="809">
        <f t="shared" si="14"/>
        <v>339</v>
      </c>
      <c r="H37" s="809">
        <f t="shared" si="14"/>
        <v>183</v>
      </c>
      <c r="I37" s="1192">
        <f t="shared" si="8"/>
        <v>0.76390602780617944</v>
      </c>
      <c r="J37" s="1188">
        <f t="shared" si="9"/>
        <v>0.3438916250107466</v>
      </c>
      <c r="K37" s="785">
        <f t="shared" si="11"/>
        <v>0</v>
      </c>
      <c r="L37" s="785">
        <f t="shared" si="12"/>
        <v>0</v>
      </c>
      <c r="M37" s="785">
        <f t="shared" si="13"/>
        <v>650</v>
      </c>
      <c r="N37" s="537">
        <v>85089</v>
      </c>
      <c r="O37" s="537">
        <v>81421</v>
      </c>
      <c r="P37" s="1189">
        <f t="shared" si="10"/>
        <v>62</v>
      </c>
      <c r="Q37" s="1201"/>
      <c r="R37" s="1187">
        <v>6</v>
      </c>
      <c r="S37" s="1187">
        <v>3</v>
      </c>
      <c r="T37" s="1187">
        <v>28</v>
      </c>
      <c r="U37" s="1187">
        <v>25</v>
      </c>
      <c r="V37" s="788"/>
      <c r="W37" s="537">
        <v>6</v>
      </c>
      <c r="X37" s="537">
        <f t="shared" si="15"/>
        <v>185</v>
      </c>
      <c r="Y37" s="809"/>
      <c r="Z37" s="90">
        <v>2</v>
      </c>
      <c r="AA37" s="90">
        <v>3</v>
      </c>
      <c r="AB37" s="90">
        <v>54</v>
      </c>
      <c r="AC37" s="90">
        <v>126</v>
      </c>
      <c r="AD37" s="51"/>
    </row>
    <row r="38" spans="1:30" ht="15.75" customHeight="1">
      <c r="A38" s="811" t="s">
        <v>289</v>
      </c>
      <c r="B38" s="1190">
        <v>875</v>
      </c>
      <c r="C38" s="812">
        <f t="shared" si="16"/>
        <v>813</v>
      </c>
      <c r="D38" s="809">
        <f t="shared" si="14"/>
        <v>2</v>
      </c>
      <c r="E38" s="809">
        <f t="shared" si="14"/>
        <v>43</v>
      </c>
      <c r="F38" s="809">
        <f t="shared" si="14"/>
        <v>46</v>
      </c>
      <c r="G38" s="809">
        <f t="shared" si="14"/>
        <v>413</v>
      </c>
      <c r="H38" s="809">
        <f t="shared" si="14"/>
        <v>309</v>
      </c>
      <c r="I38" s="1192">
        <f t="shared" si="8"/>
        <v>0.8274556502091539</v>
      </c>
      <c r="J38" s="1188">
        <f t="shared" si="9"/>
        <v>0.86673996810396914</v>
      </c>
      <c r="K38" s="785">
        <f t="shared" si="11"/>
        <v>24</v>
      </c>
      <c r="L38" s="785">
        <f t="shared" si="12"/>
        <v>0</v>
      </c>
      <c r="M38" s="785">
        <f t="shared" si="13"/>
        <v>789</v>
      </c>
      <c r="N38" s="537">
        <v>98253</v>
      </c>
      <c r="O38" s="537">
        <v>100953</v>
      </c>
      <c r="P38" s="1189">
        <f t="shared" si="10"/>
        <v>131</v>
      </c>
      <c r="Q38" s="1201"/>
      <c r="R38" s="1187">
        <v>2</v>
      </c>
      <c r="S38" s="1187">
        <v>1</v>
      </c>
      <c r="T38" s="1187">
        <v>57</v>
      </c>
      <c r="U38" s="1187">
        <v>71</v>
      </c>
      <c r="V38" s="788"/>
      <c r="W38" s="537">
        <v>12</v>
      </c>
      <c r="X38" s="537">
        <f t="shared" si="15"/>
        <v>101</v>
      </c>
      <c r="Y38" s="809"/>
      <c r="Z38" s="90">
        <v>5</v>
      </c>
      <c r="AA38" s="90">
        <v>80</v>
      </c>
      <c r="AB38" s="90">
        <v>6</v>
      </c>
      <c r="AC38" s="90">
        <v>10</v>
      </c>
      <c r="AD38" s="51"/>
    </row>
    <row r="39" spans="1:30" ht="15.75" customHeight="1">
      <c r="A39" s="811" t="s">
        <v>290</v>
      </c>
      <c r="B39" s="1190">
        <v>1040</v>
      </c>
      <c r="C39" s="749">
        <f t="shared" si="16"/>
        <v>292</v>
      </c>
      <c r="D39" s="809">
        <f t="shared" si="14"/>
        <v>6</v>
      </c>
      <c r="E39" s="809">
        <f t="shared" si="14"/>
        <v>19</v>
      </c>
      <c r="F39" s="809">
        <f t="shared" si="14"/>
        <v>44</v>
      </c>
      <c r="G39" s="809">
        <f t="shared" si="14"/>
        <v>118</v>
      </c>
      <c r="H39" s="809">
        <f t="shared" si="14"/>
        <v>105</v>
      </c>
      <c r="I39" s="1192">
        <f t="shared" si="8"/>
        <v>0.46178419496149165</v>
      </c>
      <c r="J39" s="1188">
        <f t="shared" si="9"/>
        <v>1.6092096305007118</v>
      </c>
      <c r="K39" s="785">
        <f t="shared" si="11"/>
        <v>111</v>
      </c>
      <c r="L39" s="785">
        <f t="shared" si="12"/>
        <v>0</v>
      </c>
      <c r="M39" s="785">
        <f t="shared" si="13"/>
        <v>181</v>
      </c>
      <c r="N39" s="537">
        <v>63233</v>
      </c>
      <c r="O39" s="537">
        <v>64628</v>
      </c>
      <c r="P39" s="1189">
        <f t="shared" si="10"/>
        <v>26</v>
      </c>
      <c r="Q39" s="1201">
        <v>1</v>
      </c>
      <c r="R39" s="1190">
        <v>1</v>
      </c>
      <c r="S39" s="1187">
        <v>6</v>
      </c>
      <c r="T39" s="1187">
        <v>10</v>
      </c>
      <c r="U39" s="1187">
        <v>8</v>
      </c>
      <c r="V39" s="788"/>
      <c r="W39" s="537">
        <v>39</v>
      </c>
      <c r="X39" s="537">
        <f t="shared" si="15"/>
        <v>826</v>
      </c>
      <c r="Y39" s="809"/>
      <c r="Z39" s="90">
        <v>20</v>
      </c>
      <c r="AA39" s="90">
        <v>80</v>
      </c>
      <c r="AB39" s="90">
        <v>446</v>
      </c>
      <c r="AC39" s="90">
        <v>280</v>
      </c>
      <c r="AD39" s="51"/>
    </row>
    <row r="40" spans="1:30" ht="15.75" customHeight="1">
      <c r="A40" s="811" t="s">
        <v>291</v>
      </c>
      <c r="B40" s="1190">
        <v>177</v>
      </c>
      <c r="C40" s="812">
        <f t="shared" si="16"/>
        <v>1630</v>
      </c>
      <c r="D40" s="809">
        <f t="shared" si="14"/>
        <v>0</v>
      </c>
      <c r="E40" s="809">
        <f t="shared" si="14"/>
        <v>263</v>
      </c>
      <c r="F40" s="809">
        <f t="shared" si="14"/>
        <v>25</v>
      </c>
      <c r="G40" s="809">
        <f t="shared" si="14"/>
        <v>529</v>
      </c>
      <c r="H40" s="809">
        <f t="shared" si="14"/>
        <v>813</v>
      </c>
      <c r="I40" s="1192">
        <f t="shared" si="8"/>
        <v>2.4289567407274948</v>
      </c>
      <c r="J40" s="1188">
        <f t="shared" si="9"/>
        <v>0.26500179662234996</v>
      </c>
      <c r="K40" s="785">
        <f t="shared" si="11"/>
        <v>6</v>
      </c>
      <c r="L40" s="785">
        <f t="shared" si="12"/>
        <v>983</v>
      </c>
      <c r="M40" s="785">
        <f t="shared" si="13"/>
        <v>641</v>
      </c>
      <c r="N40" s="537">
        <v>67107</v>
      </c>
      <c r="O40" s="537">
        <v>66792</v>
      </c>
      <c r="P40" s="1189">
        <f t="shared" si="10"/>
        <v>404</v>
      </c>
      <c r="Q40" s="1201"/>
      <c r="R40" s="1187">
        <v>60</v>
      </c>
      <c r="S40" s="1187">
        <v>3</v>
      </c>
      <c r="T40" s="1187">
        <v>163</v>
      </c>
      <c r="U40" s="1187">
        <v>178</v>
      </c>
      <c r="V40" s="788"/>
      <c r="W40" s="537">
        <v>7</v>
      </c>
      <c r="X40" s="537">
        <f t="shared" si="15"/>
        <v>434</v>
      </c>
      <c r="Y40" s="809"/>
      <c r="Z40" s="90"/>
      <c r="AA40" s="90">
        <v>9</v>
      </c>
      <c r="AB40" s="90">
        <v>178</v>
      </c>
      <c r="AC40" s="90">
        <v>247</v>
      </c>
      <c r="AD40" s="51"/>
    </row>
    <row r="41" spans="1:30" ht="15.75" customHeight="1">
      <c r="A41" s="811" t="s">
        <v>292</v>
      </c>
      <c r="B41" s="1190">
        <v>719</v>
      </c>
      <c r="C41" s="749">
        <f t="shared" si="16"/>
        <v>903</v>
      </c>
      <c r="D41" s="809">
        <f t="shared" si="14"/>
        <v>0</v>
      </c>
      <c r="E41" s="809">
        <f t="shared" si="14"/>
        <v>6</v>
      </c>
      <c r="F41" s="809">
        <f t="shared" si="14"/>
        <v>30</v>
      </c>
      <c r="G41" s="809">
        <f t="shared" si="14"/>
        <v>382</v>
      </c>
      <c r="H41" s="809">
        <f t="shared" si="14"/>
        <v>485</v>
      </c>
      <c r="I41" s="1192">
        <f t="shared" si="8"/>
        <v>1.8882127846433723</v>
      </c>
      <c r="J41" s="1188">
        <f t="shared" si="9"/>
        <v>1.5176781002638522</v>
      </c>
      <c r="K41" s="785">
        <f t="shared" si="11"/>
        <v>0</v>
      </c>
      <c r="L41" s="785">
        <f t="shared" si="12"/>
        <v>383</v>
      </c>
      <c r="M41" s="785">
        <f t="shared" si="13"/>
        <v>520</v>
      </c>
      <c r="N41" s="537">
        <v>47823</v>
      </c>
      <c r="O41" s="537">
        <v>47375</v>
      </c>
      <c r="P41" s="1189">
        <f t="shared" si="10"/>
        <v>14</v>
      </c>
      <c r="Q41" s="1201"/>
      <c r="R41" s="1187">
        <v>1</v>
      </c>
      <c r="S41" s="1187">
        <v>2</v>
      </c>
      <c r="T41" s="1187">
        <v>7</v>
      </c>
      <c r="U41" s="1187">
        <v>4</v>
      </c>
      <c r="V41" s="788"/>
      <c r="W41" s="1162">
        <v>933</v>
      </c>
      <c r="X41" s="1162">
        <f t="shared" si="15"/>
        <v>536</v>
      </c>
      <c r="Y41" s="809"/>
      <c r="Z41" s="90">
        <v>6</v>
      </c>
      <c r="AA41" s="90"/>
      <c r="AB41" s="90">
        <v>179</v>
      </c>
      <c r="AC41" s="90">
        <v>351</v>
      </c>
      <c r="AD41" s="51"/>
    </row>
    <row r="42" spans="1:30" ht="15.75" customHeight="1">
      <c r="A42" s="814" t="s">
        <v>293</v>
      </c>
      <c r="B42" s="1193">
        <v>572</v>
      </c>
      <c r="C42" s="1194">
        <f t="shared" si="16"/>
        <v>898</v>
      </c>
      <c r="D42" s="809">
        <f t="shared" si="14"/>
        <v>2</v>
      </c>
      <c r="E42" s="809">
        <f t="shared" si="14"/>
        <v>33</v>
      </c>
      <c r="F42" s="809">
        <f t="shared" si="14"/>
        <v>77</v>
      </c>
      <c r="G42" s="809">
        <f t="shared" si="14"/>
        <v>396</v>
      </c>
      <c r="H42" s="809">
        <f t="shared" si="14"/>
        <v>390</v>
      </c>
      <c r="I42" s="1195">
        <f t="shared" si="8"/>
        <v>1.0288961708563442</v>
      </c>
      <c r="J42" s="1196">
        <f t="shared" si="9"/>
        <v>0.76833183338482414</v>
      </c>
      <c r="K42" s="785">
        <f t="shared" si="11"/>
        <v>125</v>
      </c>
      <c r="L42" s="785">
        <f t="shared" si="12"/>
        <v>0</v>
      </c>
      <c r="M42" s="785">
        <f t="shared" si="13"/>
        <v>773</v>
      </c>
      <c r="N42" s="1162">
        <v>87278</v>
      </c>
      <c r="O42" s="1162">
        <v>74447</v>
      </c>
      <c r="P42" s="1189">
        <f t="shared" si="10"/>
        <v>470</v>
      </c>
      <c r="Q42" s="1201"/>
      <c r="R42" s="1187">
        <v>20</v>
      </c>
      <c r="S42" s="1187">
        <v>30</v>
      </c>
      <c r="T42" s="1187">
        <v>203</v>
      </c>
      <c r="U42" s="1187">
        <v>217</v>
      </c>
      <c r="V42" s="788"/>
      <c r="W42" s="1186" t="s">
        <v>199</v>
      </c>
      <c r="X42" s="537">
        <f t="shared" ref="X42:AC42" si="17">SUM(X28:X41)</f>
        <v>9480</v>
      </c>
      <c r="Y42" s="537">
        <f t="shared" si="17"/>
        <v>3</v>
      </c>
      <c r="Z42" s="537">
        <f t="shared" si="17"/>
        <v>242</v>
      </c>
      <c r="AA42" s="537">
        <f t="shared" si="17"/>
        <v>713</v>
      </c>
      <c r="AB42" s="537">
        <f t="shared" si="17"/>
        <v>3686</v>
      </c>
      <c r="AC42" s="537">
        <f t="shared" si="17"/>
        <v>4836</v>
      </c>
      <c r="AD42" s="51"/>
    </row>
    <row r="43" spans="1:30" ht="15.75" customHeight="1">
      <c r="A43" s="726" t="s">
        <v>296</v>
      </c>
      <c r="B43" s="1197"/>
      <c r="C43" s="1198">
        <f t="shared" ref="C43:H43" si="18">SUM(C29:C42)</f>
        <v>14162</v>
      </c>
      <c r="D43" s="537">
        <f t="shared" si="18"/>
        <v>48</v>
      </c>
      <c r="E43" s="537">
        <f t="shared" si="18"/>
        <v>954</v>
      </c>
      <c r="F43" s="537">
        <f t="shared" si="18"/>
        <v>825</v>
      </c>
      <c r="G43" s="537">
        <f t="shared" si="18"/>
        <v>5915</v>
      </c>
      <c r="H43" s="537">
        <f t="shared" si="18"/>
        <v>6420</v>
      </c>
      <c r="I43" s="1192">
        <f t="shared" si="8"/>
        <v>1.2317331760833983</v>
      </c>
      <c r="J43" s="1199"/>
      <c r="K43" s="537">
        <f>SUM(K29:K42)</f>
        <v>510</v>
      </c>
      <c r="L43" s="537">
        <f>SUM(L29:L42)</f>
        <v>1710</v>
      </c>
      <c r="M43" s="537">
        <f>SUM(M29:M42)</f>
        <v>11942</v>
      </c>
      <c r="N43" s="1198">
        <f>SUM(N29:N42)</f>
        <v>1149762</v>
      </c>
      <c r="O43" s="1197"/>
      <c r="P43" s="90">
        <f t="shared" ref="P43:U43" si="19">SUM(P29:P42)</f>
        <v>3355</v>
      </c>
      <c r="Q43" s="537">
        <f t="shared" si="19"/>
        <v>14</v>
      </c>
      <c r="R43" s="537">
        <f t="shared" si="19"/>
        <v>231</v>
      </c>
      <c r="S43" s="537">
        <f t="shared" si="19"/>
        <v>203</v>
      </c>
      <c r="T43" s="537">
        <f t="shared" si="19"/>
        <v>1434</v>
      </c>
      <c r="U43" s="537">
        <f t="shared" si="19"/>
        <v>1473</v>
      </c>
      <c r="V43" s="788"/>
      <c r="W43" s="788"/>
      <c r="X43" s="788"/>
      <c r="Y43" s="788"/>
      <c r="Z43" s="788"/>
      <c r="AA43" s="788"/>
      <c r="AB43" s="788"/>
      <c r="AC43" s="788"/>
      <c r="AD43" s="51"/>
    </row>
    <row r="44" spans="1:30" ht="15.75" customHeight="1">
      <c r="A44" s="740" t="s">
        <v>886</v>
      </c>
      <c r="B44" s="1198">
        <f>SUM(B29:B43)</f>
        <v>10915</v>
      </c>
      <c r="C44" s="1197"/>
      <c r="D44" s="1187">
        <v>29</v>
      </c>
      <c r="E44" s="1187">
        <v>494</v>
      </c>
      <c r="F44" s="1187">
        <v>925</v>
      </c>
      <c r="G44" s="1187">
        <v>5678</v>
      </c>
      <c r="H44" s="1187">
        <v>3789</v>
      </c>
      <c r="I44" s="1200"/>
      <c r="J44" s="1188">
        <f>(B44/O44)*100</f>
        <v>0.98043442721610519</v>
      </c>
      <c r="K44" s="537">
        <v>554</v>
      </c>
      <c r="L44" s="785">
        <v>2121</v>
      </c>
      <c r="M44" s="537">
        <v>8240</v>
      </c>
      <c r="N44" s="1197"/>
      <c r="O44" s="537">
        <f>SUM(O29:O42)</f>
        <v>1113282</v>
      </c>
      <c r="P44" s="90">
        <v>1855</v>
      </c>
      <c r="Q44" s="1187">
        <v>5</v>
      </c>
      <c r="R44" s="1187">
        <v>31</v>
      </c>
      <c r="S44" s="1187">
        <v>102</v>
      </c>
      <c r="T44" s="1187">
        <v>902</v>
      </c>
      <c r="U44" s="1187">
        <v>815</v>
      </c>
      <c r="V44" s="788"/>
      <c r="W44" s="788"/>
      <c r="X44" s="788"/>
      <c r="Y44" s="788"/>
      <c r="Z44" s="788"/>
      <c r="AA44" s="788"/>
      <c r="AB44" s="788"/>
      <c r="AC44" s="788"/>
      <c r="AD44" s="51"/>
    </row>
    <row r="45" spans="1:30">
      <c r="A45" s="389"/>
      <c r="B45" s="396"/>
      <c r="C45" s="396"/>
      <c r="D45" s="396"/>
      <c r="E45" s="391"/>
      <c r="F45" s="391"/>
      <c r="G45" s="391"/>
      <c r="H45" s="396"/>
      <c r="I45" s="396"/>
      <c r="J45" s="396"/>
      <c r="K45" s="391"/>
      <c r="L45" s="391"/>
      <c r="M45" s="396"/>
      <c r="N45" s="396"/>
      <c r="O45" s="396"/>
      <c r="P45" s="397"/>
      <c r="Q45" s="397"/>
      <c r="R45" s="397"/>
      <c r="S45" s="397"/>
      <c r="T45" s="397"/>
      <c r="U45" s="397"/>
      <c r="V45" s="51"/>
      <c r="W45" s="51"/>
      <c r="X45" s="51"/>
      <c r="Y45" s="51"/>
      <c r="Z45" s="51"/>
      <c r="AA45" s="51"/>
      <c r="AB45" s="51"/>
      <c r="AC45" s="51"/>
      <c r="AD45" s="51"/>
    </row>
    <row r="46" spans="1:30">
      <c r="A46" s="294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103"/>
      <c r="Q46" s="103"/>
      <c r="R46" s="103"/>
      <c r="S46" s="103"/>
      <c r="T46" s="103"/>
      <c r="U46" s="103"/>
    </row>
    <row r="48" spans="1:30">
      <c r="C48" s="1629">
        <v>44</v>
      </c>
      <c r="D48" s="1629"/>
      <c r="E48" s="1629"/>
      <c r="F48" s="1629"/>
      <c r="G48" s="1629"/>
      <c r="H48" s="1629"/>
      <c r="I48" s="1629"/>
      <c r="J48" s="1629"/>
      <c r="K48" s="1629"/>
      <c r="L48" s="1629"/>
      <c r="M48" s="95"/>
      <c r="N48" s="95"/>
      <c r="O48" s="299"/>
    </row>
  </sheetData>
  <mergeCells count="16">
    <mergeCell ref="A24:O24"/>
    <mergeCell ref="O27:O28"/>
    <mergeCell ref="P27:P28"/>
    <mergeCell ref="Q27:U27"/>
    <mergeCell ref="C48:L48"/>
    <mergeCell ref="A27:A28"/>
    <mergeCell ref="B27:B28"/>
    <mergeCell ref="C27:C28"/>
    <mergeCell ref="D27:H27"/>
    <mergeCell ref="K27:M27"/>
    <mergeCell ref="N27:N28"/>
    <mergeCell ref="A2:Y2"/>
    <mergeCell ref="A3:B3"/>
    <mergeCell ref="N4:S4"/>
    <mergeCell ref="T4:Y4"/>
    <mergeCell ref="U5:Y5"/>
  </mergeCells>
  <pageMargins left="0.43" right="0.2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E64"/>
  <sheetViews>
    <sheetView workbookViewId="0">
      <selection activeCell="H21" sqref="H21"/>
    </sheetView>
  </sheetViews>
  <sheetFormatPr defaultRowHeight="12.75"/>
  <cols>
    <col min="1" max="1" width="6.7109375" style="348" customWidth="1"/>
    <col min="2" max="4" width="7.28515625" style="348" customWidth="1"/>
    <col min="5" max="8" width="8.140625" style="348" customWidth="1"/>
    <col min="9" max="15" width="6.85546875" style="348" customWidth="1"/>
    <col min="16" max="16384" width="9.140625" style="348"/>
  </cols>
  <sheetData>
    <row r="1" spans="1:24">
      <c r="A1" s="1397" t="s">
        <v>757</v>
      </c>
      <c r="B1" s="1397"/>
      <c r="C1" s="1397"/>
      <c r="D1" s="1397"/>
      <c r="E1" s="1397"/>
      <c r="F1" s="1397"/>
      <c r="G1" s="1397"/>
      <c r="H1" s="1397"/>
      <c r="I1" s="1397"/>
      <c r="J1" s="1397"/>
      <c r="K1" s="1397"/>
      <c r="L1" s="1397"/>
      <c r="M1" s="1397"/>
      <c r="N1" s="1397"/>
      <c r="O1" s="1397"/>
    </row>
    <row r="2" spans="1:24">
      <c r="C2" s="887" t="s">
        <v>199</v>
      </c>
      <c r="D2" s="338"/>
      <c r="E2" s="338"/>
      <c r="F2" s="338"/>
      <c r="G2" s="338"/>
      <c r="J2" s="888"/>
      <c r="L2" s="889" t="s">
        <v>199</v>
      </c>
      <c r="N2" s="1642" t="s">
        <v>1225</v>
      </c>
      <c r="O2" s="1642"/>
    </row>
    <row r="3" spans="1:24" ht="12.75" customHeight="1">
      <c r="A3" s="1639" t="s">
        <v>758</v>
      </c>
      <c r="B3" s="1633" t="s">
        <v>1632</v>
      </c>
      <c r="C3" s="1633" t="s">
        <v>759</v>
      </c>
      <c r="D3" s="890" t="s">
        <v>760</v>
      </c>
      <c r="E3" s="891"/>
      <c r="F3" s="891"/>
      <c r="G3" s="891"/>
      <c r="H3" s="892"/>
      <c r="I3" s="1633" t="s">
        <v>1217</v>
      </c>
      <c r="J3" s="1633" t="s">
        <v>759</v>
      </c>
      <c r="K3" s="890" t="s">
        <v>761</v>
      </c>
      <c r="L3" s="891"/>
      <c r="M3" s="891"/>
      <c r="N3" s="891"/>
      <c r="O3" s="892"/>
      <c r="R3" s="890" t="s">
        <v>1633</v>
      </c>
      <c r="S3" s="891"/>
      <c r="T3" s="891"/>
      <c r="U3" s="891"/>
      <c r="V3" s="891"/>
      <c r="W3" s="892"/>
      <c r="X3" s="1633" t="s">
        <v>1634</v>
      </c>
    </row>
    <row r="4" spans="1:24" ht="12.75" customHeight="1">
      <c r="A4" s="1640"/>
      <c r="B4" s="1638"/>
      <c r="C4" s="1638"/>
      <c r="D4" s="1633" t="s">
        <v>762</v>
      </c>
      <c r="E4" s="1633" t="s">
        <v>763</v>
      </c>
      <c r="F4" s="1633" t="s">
        <v>764</v>
      </c>
      <c r="G4" s="1633" t="s">
        <v>765</v>
      </c>
      <c r="H4" s="1633" t="s">
        <v>766</v>
      </c>
      <c r="I4" s="1638"/>
      <c r="J4" s="1638"/>
      <c r="K4" s="1633" t="s">
        <v>762</v>
      </c>
      <c r="L4" s="1633" t="s">
        <v>763</v>
      </c>
      <c r="M4" s="1633" t="s">
        <v>764</v>
      </c>
      <c r="N4" s="1633" t="s">
        <v>765</v>
      </c>
      <c r="O4" s="1633" t="s">
        <v>766</v>
      </c>
      <c r="R4" s="893"/>
      <c r="S4" s="894"/>
      <c r="T4" s="894"/>
      <c r="U4" s="894"/>
      <c r="V4" s="894" t="s">
        <v>31</v>
      </c>
      <c r="W4" s="895" t="s">
        <v>767</v>
      </c>
      <c r="X4" s="1638"/>
    </row>
    <row r="5" spans="1:24">
      <c r="A5" s="1641"/>
      <c r="B5" s="1634"/>
      <c r="C5" s="1634"/>
      <c r="D5" s="1634"/>
      <c r="E5" s="1634"/>
      <c r="F5" s="1634"/>
      <c r="G5" s="1634"/>
      <c r="H5" s="1634"/>
      <c r="I5" s="1634"/>
      <c r="J5" s="1634"/>
      <c r="K5" s="1634"/>
      <c r="L5" s="1634"/>
      <c r="M5" s="1634"/>
      <c r="N5" s="1634"/>
      <c r="O5" s="1634"/>
      <c r="R5" s="896" t="s">
        <v>276</v>
      </c>
      <c r="S5" s="897" t="s">
        <v>768</v>
      </c>
      <c r="T5" s="897" t="s">
        <v>769</v>
      </c>
      <c r="U5" s="897" t="s">
        <v>770</v>
      </c>
      <c r="V5" s="897" t="s">
        <v>771</v>
      </c>
      <c r="W5" s="898" t="s">
        <v>772</v>
      </c>
      <c r="X5" s="387" t="s">
        <v>276</v>
      </c>
    </row>
    <row r="6" spans="1:24">
      <c r="A6" s="880" t="s">
        <v>179</v>
      </c>
      <c r="B6" s="384">
        <v>53369</v>
      </c>
      <c r="C6" s="384">
        <f>SUM(D6:H6)</f>
        <v>39000</v>
      </c>
      <c r="D6" s="384">
        <v>15</v>
      </c>
      <c r="E6" s="384">
        <v>982</v>
      </c>
      <c r="F6" s="384">
        <v>1483</v>
      </c>
      <c r="G6" s="384">
        <v>25290</v>
      </c>
      <c r="H6" s="384">
        <v>11230</v>
      </c>
      <c r="I6" s="899">
        <v>97.344180362256722</v>
      </c>
      <c r="J6" s="899">
        <f t="shared" ref="J6:O20" si="0">(C6/R6)*100</f>
        <v>87.46551840139945</v>
      </c>
      <c r="K6" s="899">
        <f t="shared" si="0"/>
        <v>27.777777777777779</v>
      </c>
      <c r="L6" s="899">
        <f t="shared" si="0"/>
        <v>47.234247234247235</v>
      </c>
      <c r="M6" s="899">
        <f t="shared" si="0"/>
        <v>36.835568802781914</v>
      </c>
      <c r="N6" s="899">
        <f t="shared" si="0"/>
        <v>97.814736027847616</v>
      </c>
      <c r="O6" s="899">
        <f t="shared" si="0"/>
        <v>89.304174950298204</v>
      </c>
      <c r="R6" s="323">
        <v>44589</v>
      </c>
      <c r="S6" s="384">
        <v>54</v>
      </c>
      <c r="T6" s="384">
        <v>2079</v>
      </c>
      <c r="U6" s="384">
        <v>4026</v>
      </c>
      <c r="V6" s="384">
        <v>25855</v>
      </c>
      <c r="W6" s="384">
        <v>12575</v>
      </c>
      <c r="X6" s="323">
        <v>54823</v>
      </c>
    </row>
    <row r="7" spans="1:24">
      <c r="A7" s="881" t="s">
        <v>180</v>
      </c>
      <c r="B7" s="384">
        <v>29067</v>
      </c>
      <c r="C7" s="384">
        <f>SUM(D7:H7)</f>
        <v>35036</v>
      </c>
      <c r="D7" s="384">
        <v>205</v>
      </c>
      <c r="E7" s="384">
        <v>2974</v>
      </c>
      <c r="F7" s="384">
        <v>2642</v>
      </c>
      <c r="G7" s="384">
        <v>18205</v>
      </c>
      <c r="H7" s="384">
        <v>11010</v>
      </c>
      <c r="I7" s="899">
        <v>70.912417662844589</v>
      </c>
      <c r="J7" s="899">
        <f t="shared" si="0"/>
        <v>102.78103731518422</v>
      </c>
      <c r="K7" s="899">
        <f t="shared" si="0"/>
        <v>90.308370044052865</v>
      </c>
      <c r="L7" s="899">
        <f>(E7/T7)*100</f>
        <v>82.450790130302181</v>
      </c>
      <c r="M7" s="899">
        <f t="shared" si="0"/>
        <v>89.559322033898297</v>
      </c>
      <c r="N7" s="900">
        <f t="shared" si="0"/>
        <v>111.61863887185774</v>
      </c>
      <c r="O7" s="899">
        <f t="shared" si="0"/>
        <v>100.14553392759686</v>
      </c>
      <c r="R7" s="323">
        <v>34088</v>
      </c>
      <c r="S7" s="384">
        <v>227</v>
      </c>
      <c r="T7" s="384">
        <v>3607</v>
      </c>
      <c r="U7" s="384">
        <v>2950</v>
      </c>
      <c r="V7" s="384">
        <v>16310</v>
      </c>
      <c r="W7" s="384">
        <v>10994</v>
      </c>
      <c r="X7" s="323">
        <v>40990</v>
      </c>
    </row>
    <row r="8" spans="1:24">
      <c r="A8" s="881" t="s">
        <v>181</v>
      </c>
      <c r="B8" s="384">
        <v>24025</v>
      </c>
      <c r="C8" s="384">
        <f>SUM(D8:H8)</f>
        <v>28821</v>
      </c>
      <c r="D8" s="384">
        <v>63</v>
      </c>
      <c r="E8" s="384">
        <v>2864</v>
      </c>
      <c r="F8" s="384">
        <v>2129</v>
      </c>
      <c r="G8" s="384">
        <v>14645</v>
      </c>
      <c r="H8" s="384">
        <v>9120</v>
      </c>
      <c r="I8" s="899">
        <v>76.101128955318813</v>
      </c>
      <c r="J8" s="899">
        <f t="shared" si="0"/>
        <v>89.927922868108212</v>
      </c>
      <c r="K8" s="899">
        <f t="shared" si="0"/>
        <v>46.32352941176471</v>
      </c>
      <c r="L8" s="899">
        <f t="shared" si="0"/>
        <v>94.272547728768927</v>
      </c>
      <c r="M8" s="899">
        <f t="shared" si="0"/>
        <v>92.364425162689798</v>
      </c>
      <c r="N8" s="900">
        <f t="shared" si="0"/>
        <v>88.111425305336624</v>
      </c>
      <c r="O8" s="899">
        <f t="shared" si="0"/>
        <v>91.6675042717861</v>
      </c>
      <c r="R8" s="323">
        <v>32049</v>
      </c>
      <c r="S8" s="384">
        <v>136</v>
      </c>
      <c r="T8" s="384">
        <v>3038</v>
      </c>
      <c r="U8" s="384">
        <v>2305</v>
      </c>
      <c r="V8" s="384">
        <v>16621</v>
      </c>
      <c r="W8" s="384">
        <v>9949</v>
      </c>
      <c r="X8" s="323">
        <v>31445</v>
      </c>
    </row>
    <row r="9" spans="1:24">
      <c r="A9" s="881" t="s">
        <v>182</v>
      </c>
      <c r="B9" s="384">
        <v>22931</v>
      </c>
      <c r="C9" s="384">
        <f t="shared" ref="C9:C19" si="1">SUM(D9:H9)</f>
        <v>19552</v>
      </c>
      <c r="D9" s="384">
        <v>31</v>
      </c>
      <c r="E9" s="384">
        <v>1067</v>
      </c>
      <c r="F9" s="384">
        <v>1025</v>
      </c>
      <c r="G9" s="384">
        <v>10799</v>
      </c>
      <c r="H9" s="384">
        <v>6630</v>
      </c>
      <c r="I9" s="899">
        <v>75.465235354355727</v>
      </c>
      <c r="J9" s="899">
        <f t="shared" si="0"/>
        <v>69.55531839203131</v>
      </c>
      <c r="K9" s="899">
        <f t="shared" si="0"/>
        <v>33.333333333333329</v>
      </c>
      <c r="L9" s="899">
        <f t="shared" si="0"/>
        <v>38.927398759576796</v>
      </c>
      <c r="M9" s="899">
        <f t="shared" si="0"/>
        <v>51.096709870388835</v>
      </c>
      <c r="N9" s="900">
        <f t="shared" si="0"/>
        <v>78.646857475784728</v>
      </c>
      <c r="O9" s="899">
        <f t="shared" si="0"/>
        <v>69.50414089527203</v>
      </c>
      <c r="R9" s="323">
        <v>28110</v>
      </c>
      <c r="S9" s="384">
        <v>93</v>
      </c>
      <c r="T9" s="384">
        <v>2741</v>
      </c>
      <c r="U9" s="384">
        <v>2006</v>
      </c>
      <c r="V9" s="384">
        <v>13731</v>
      </c>
      <c r="W9" s="384">
        <v>9539</v>
      </c>
      <c r="X9" s="323">
        <v>28319</v>
      </c>
    </row>
    <row r="10" spans="1:24">
      <c r="A10" s="881" t="s">
        <v>773</v>
      </c>
      <c r="B10" s="384">
        <v>55939</v>
      </c>
      <c r="C10" s="384">
        <f t="shared" si="1"/>
        <v>60204</v>
      </c>
      <c r="D10" s="384">
        <v>78</v>
      </c>
      <c r="E10" s="384">
        <v>3014</v>
      </c>
      <c r="F10" s="384">
        <v>3376</v>
      </c>
      <c r="G10" s="384">
        <v>36823</v>
      </c>
      <c r="H10" s="384">
        <v>16913</v>
      </c>
      <c r="I10" s="899">
        <v>80.589811559960808</v>
      </c>
      <c r="J10" s="899">
        <f t="shared" si="0"/>
        <v>86.548497002630782</v>
      </c>
      <c r="K10" s="899">
        <f t="shared" si="0"/>
        <v>38.048780487804876</v>
      </c>
      <c r="L10" s="899">
        <f t="shared" si="0"/>
        <v>68.468877782825984</v>
      </c>
      <c r="M10" s="899">
        <f t="shared" si="0"/>
        <v>78.952291861552851</v>
      </c>
      <c r="N10" s="900">
        <f t="shared" si="0"/>
        <v>90.425322921271061</v>
      </c>
      <c r="O10" s="899">
        <f t="shared" si="0"/>
        <v>84.75145319703347</v>
      </c>
      <c r="R10" s="323">
        <v>69561</v>
      </c>
      <c r="S10" s="384">
        <v>205</v>
      </c>
      <c r="T10" s="384">
        <v>4402</v>
      </c>
      <c r="U10" s="384">
        <v>4276</v>
      </c>
      <c r="V10" s="384">
        <v>40722</v>
      </c>
      <c r="W10" s="384">
        <v>19956</v>
      </c>
      <c r="X10" s="323">
        <v>69412</v>
      </c>
    </row>
    <row r="11" spans="1:24">
      <c r="A11" s="881" t="s">
        <v>183</v>
      </c>
      <c r="B11" s="384">
        <v>32610</v>
      </c>
      <c r="C11" s="384">
        <f>SUM(D11:H11)</f>
        <v>26791</v>
      </c>
      <c r="D11" s="384">
        <v>113</v>
      </c>
      <c r="E11" s="384">
        <v>2707</v>
      </c>
      <c r="F11" s="384">
        <v>3420</v>
      </c>
      <c r="G11" s="384">
        <v>12680</v>
      </c>
      <c r="H11" s="384">
        <v>7871</v>
      </c>
      <c r="I11" s="899">
        <v>86.354368032200838</v>
      </c>
      <c r="J11" s="899">
        <f t="shared" si="0"/>
        <v>78.263028745033893</v>
      </c>
      <c r="K11" s="899">
        <f t="shared" si="0"/>
        <v>40.794223826714806</v>
      </c>
      <c r="L11" s="899">
        <f t="shared" si="0"/>
        <v>63.589382194033362</v>
      </c>
      <c r="M11" s="899">
        <f t="shared" si="0"/>
        <v>83.557292939164427</v>
      </c>
      <c r="N11" s="900">
        <f t="shared" si="0"/>
        <v>79.613235386450683</v>
      </c>
      <c r="O11" s="899">
        <f t="shared" si="0"/>
        <v>81.32878693945031</v>
      </c>
      <c r="R11" s="323">
        <v>34232</v>
      </c>
      <c r="S11" s="384">
        <v>277</v>
      </c>
      <c r="T11" s="384">
        <v>4257</v>
      </c>
      <c r="U11" s="384">
        <v>4093</v>
      </c>
      <c r="V11" s="384">
        <v>15927</v>
      </c>
      <c r="W11" s="384">
        <v>9678</v>
      </c>
      <c r="X11" s="323">
        <v>37763</v>
      </c>
    </row>
    <row r="12" spans="1:24">
      <c r="A12" s="881" t="s">
        <v>184</v>
      </c>
      <c r="B12" s="384">
        <v>17996</v>
      </c>
      <c r="C12" s="384">
        <f t="shared" si="1"/>
        <v>18388</v>
      </c>
      <c r="D12" s="384">
        <v>31</v>
      </c>
      <c r="E12" s="384">
        <v>1322</v>
      </c>
      <c r="F12" s="384">
        <v>2599</v>
      </c>
      <c r="G12" s="384">
        <v>9984</v>
      </c>
      <c r="H12" s="384">
        <v>4452</v>
      </c>
      <c r="I12" s="899">
        <v>56.744655357255468</v>
      </c>
      <c r="J12" s="899">
        <f t="shared" si="0"/>
        <v>64.551007512462263</v>
      </c>
      <c r="K12" s="899">
        <f t="shared" si="0"/>
        <v>19.1358024691358</v>
      </c>
      <c r="L12" s="899">
        <f t="shared" si="0"/>
        <v>40.979541227526347</v>
      </c>
      <c r="M12" s="899">
        <f t="shared" si="0"/>
        <v>48.688647433495689</v>
      </c>
      <c r="N12" s="900">
        <f t="shared" si="0"/>
        <v>76.930189551548779</v>
      </c>
      <c r="O12" s="899">
        <f t="shared" si="0"/>
        <v>65.644352698319068</v>
      </c>
      <c r="R12" s="323">
        <v>28486</v>
      </c>
      <c r="S12" s="384">
        <v>162</v>
      </c>
      <c r="T12" s="384">
        <v>3226</v>
      </c>
      <c r="U12" s="384">
        <v>5338</v>
      </c>
      <c r="V12" s="384">
        <v>12978</v>
      </c>
      <c r="W12" s="384">
        <v>6782</v>
      </c>
      <c r="X12" s="323">
        <v>31714</v>
      </c>
    </row>
    <row r="13" spans="1:24">
      <c r="A13" s="881" t="s">
        <v>185</v>
      </c>
      <c r="B13" s="384">
        <v>24536</v>
      </c>
      <c r="C13" s="384">
        <f t="shared" si="1"/>
        <v>25327</v>
      </c>
      <c r="D13" s="384">
        <v>38</v>
      </c>
      <c r="E13" s="384">
        <v>2188</v>
      </c>
      <c r="F13" s="384">
        <v>1821</v>
      </c>
      <c r="G13" s="384">
        <v>15045</v>
      </c>
      <c r="H13" s="384">
        <v>6235</v>
      </c>
      <c r="I13" s="899">
        <v>87.341591912288195</v>
      </c>
      <c r="J13" s="899">
        <f t="shared" si="0"/>
        <v>88.552847802524397</v>
      </c>
      <c r="K13" s="899">
        <f t="shared" si="0"/>
        <v>31.666666666666664</v>
      </c>
      <c r="L13" s="899">
        <f t="shared" si="0"/>
        <v>81.037037037037038</v>
      </c>
      <c r="M13" s="899">
        <f t="shared" si="0"/>
        <v>92.342799188640981</v>
      </c>
      <c r="N13" s="900">
        <f t="shared" si="0"/>
        <v>93.134827287359172</v>
      </c>
      <c r="O13" s="899">
        <f t="shared" si="0"/>
        <v>81.450032658393212</v>
      </c>
      <c r="R13" s="323">
        <v>28601</v>
      </c>
      <c r="S13" s="384">
        <v>120</v>
      </c>
      <c r="T13" s="384">
        <v>2700</v>
      </c>
      <c r="U13" s="384">
        <v>1972</v>
      </c>
      <c r="V13" s="384">
        <v>16154</v>
      </c>
      <c r="W13" s="384">
        <v>7655</v>
      </c>
      <c r="X13" s="323">
        <v>28092</v>
      </c>
    </row>
    <row r="14" spans="1:24">
      <c r="A14" s="881" t="s">
        <v>186</v>
      </c>
      <c r="B14" s="384">
        <v>27651</v>
      </c>
      <c r="C14" s="384">
        <f t="shared" si="1"/>
        <v>31498</v>
      </c>
      <c r="D14" s="384">
        <v>58</v>
      </c>
      <c r="E14" s="384">
        <v>1866</v>
      </c>
      <c r="F14" s="384">
        <v>1497</v>
      </c>
      <c r="G14" s="384">
        <v>19436</v>
      </c>
      <c r="H14" s="384">
        <v>8641</v>
      </c>
      <c r="I14" s="899">
        <v>68.638451036365893</v>
      </c>
      <c r="J14" s="899">
        <f t="shared" si="0"/>
        <v>82.184417888639558</v>
      </c>
      <c r="K14" s="899">
        <f t="shared" si="0"/>
        <v>32.954545454545453</v>
      </c>
      <c r="L14" s="899">
        <f t="shared" si="0"/>
        <v>47.384459116302693</v>
      </c>
      <c r="M14" s="899">
        <f t="shared" si="0"/>
        <v>73.562653562653551</v>
      </c>
      <c r="N14" s="900">
        <f t="shared" si="0"/>
        <v>87.50619062626626</v>
      </c>
      <c r="O14" s="899">
        <f t="shared" si="0"/>
        <v>86.704796307445307</v>
      </c>
      <c r="R14" s="323">
        <v>38326</v>
      </c>
      <c r="S14" s="384">
        <v>176</v>
      </c>
      <c r="T14" s="384">
        <v>3938</v>
      </c>
      <c r="U14" s="384">
        <v>2035</v>
      </c>
      <c r="V14" s="384">
        <v>22211</v>
      </c>
      <c r="W14" s="384">
        <v>9966</v>
      </c>
      <c r="X14" s="323">
        <v>40285</v>
      </c>
    </row>
    <row r="15" spans="1:24">
      <c r="A15" s="881" t="s">
        <v>187</v>
      </c>
      <c r="B15" s="384">
        <v>38764</v>
      </c>
      <c r="C15" s="384">
        <f t="shared" si="1"/>
        <v>45896</v>
      </c>
      <c r="D15" s="384">
        <v>55</v>
      </c>
      <c r="E15" s="384">
        <v>2960</v>
      </c>
      <c r="F15" s="384">
        <v>2605</v>
      </c>
      <c r="G15" s="384">
        <v>25228</v>
      </c>
      <c r="H15" s="384">
        <v>15048</v>
      </c>
      <c r="I15" s="899">
        <v>71.837067511721429</v>
      </c>
      <c r="J15" s="899">
        <f t="shared" si="0"/>
        <v>102.28660574994429</v>
      </c>
      <c r="K15" s="899">
        <f t="shared" si="0"/>
        <v>53.921568627450981</v>
      </c>
      <c r="L15" s="899">
        <f t="shared" si="0"/>
        <v>82.199389058594832</v>
      </c>
      <c r="M15" s="899">
        <f t="shared" si="0"/>
        <v>87.917651029362133</v>
      </c>
      <c r="N15" s="900">
        <f t="shared" si="0"/>
        <v>109.99302406696896</v>
      </c>
      <c r="O15" s="899">
        <f t="shared" si="0"/>
        <v>98.559077809798268</v>
      </c>
      <c r="R15" s="323">
        <v>44870</v>
      </c>
      <c r="S15" s="384">
        <v>102</v>
      </c>
      <c r="T15" s="384">
        <v>3601</v>
      </c>
      <c r="U15" s="384">
        <v>2963</v>
      </c>
      <c r="V15" s="384">
        <v>22936</v>
      </c>
      <c r="W15" s="384">
        <v>15268</v>
      </c>
      <c r="X15" s="323">
        <v>53961</v>
      </c>
    </row>
    <row r="16" spans="1:24">
      <c r="A16" s="881" t="s">
        <v>188</v>
      </c>
      <c r="B16" s="384">
        <v>25072</v>
      </c>
      <c r="C16" s="384">
        <f t="shared" si="1"/>
        <v>23110</v>
      </c>
      <c r="D16" s="384">
        <v>30</v>
      </c>
      <c r="E16" s="384">
        <v>1193</v>
      </c>
      <c r="F16" s="384">
        <v>3163</v>
      </c>
      <c r="G16" s="384">
        <v>10808</v>
      </c>
      <c r="H16" s="384">
        <v>7916</v>
      </c>
      <c r="I16" s="899">
        <v>76.865534367527133</v>
      </c>
      <c r="J16" s="899">
        <f t="shared" si="0"/>
        <v>89.066173353374182</v>
      </c>
      <c r="K16" s="899">
        <f t="shared" si="0"/>
        <v>41.095890410958901</v>
      </c>
      <c r="L16" s="899">
        <f t="shared" si="0"/>
        <v>56.647673314339983</v>
      </c>
      <c r="M16" s="899">
        <f t="shared" si="0"/>
        <v>80.238457635717907</v>
      </c>
      <c r="N16" s="900">
        <f t="shared" si="0"/>
        <v>95.747696669029054</v>
      </c>
      <c r="O16" s="899">
        <f t="shared" si="0"/>
        <v>92.714921527289761</v>
      </c>
      <c r="R16" s="323">
        <v>25947</v>
      </c>
      <c r="S16" s="384">
        <v>73</v>
      </c>
      <c r="T16" s="384">
        <v>2106</v>
      </c>
      <c r="U16" s="384">
        <v>3942</v>
      </c>
      <c r="V16" s="384">
        <v>11288</v>
      </c>
      <c r="W16" s="384">
        <v>8538</v>
      </c>
      <c r="X16" s="323">
        <v>32618</v>
      </c>
    </row>
    <row r="17" spans="1:213">
      <c r="A17" s="881" t="s">
        <v>189</v>
      </c>
      <c r="B17" s="384">
        <v>27366</v>
      </c>
      <c r="C17" s="384">
        <f t="shared" si="1"/>
        <v>20144</v>
      </c>
      <c r="D17" s="384">
        <v>50</v>
      </c>
      <c r="E17" s="384">
        <v>805</v>
      </c>
      <c r="F17" s="384">
        <v>1142</v>
      </c>
      <c r="G17" s="384">
        <v>11305</v>
      </c>
      <c r="H17" s="384">
        <v>6842</v>
      </c>
      <c r="I17" s="899">
        <v>77.099999999999994</v>
      </c>
      <c r="J17" s="899">
        <f t="shared" si="0"/>
        <v>77.215578043544923</v>
      </c>
      <c r="K17" s="899">
        <f t="shared" si="0"/>
        <v>29.069767441860467</v>
      </c>
      <c r="L17" s="899">
        <f t="shared" si="0"/>
        <v>27.94168691426588</v>
      </c>
      <c r="M17" s="899">
        <f t="shared" si="0"/>
        <v>48.59574468085107</v>
      </c>
      <c r="N17" s="900">
        <f t="shared" si="0"/>
        <v>96.311126256602492</v>
      </c>
      <c r="O17" s="899">
        <f t="shared" si="0"/>
        <v>76.472560634849671</v>
      </c>
      <c r="R17" s="323">
        <v>26088</v>
      </c>
      <c r="S17" s="384">
        <v>172</v>
      </c>
      <c r="T17" s="384">
        <v>2881</v>
      </c>
      <c r="U17" s="384">
        <v>2350</v>
      </c>
      <c r="V17" s="384">
        <v>11738</v>
      </c>
      <c r="W17" s="384">
        <v>8947</v>
      </c>
      <c r="X17" s="323">
        <v>35493</v>
      </c>
    </row>
    <row r="18" spans="1:213">
      <c r="A18" s="881" t="s">
        <v>190</v>
      </c>
      <c r="B18" s="384">
        <v>16192</v>
      </c>
      <c r="C18" s="384">
        <f t="shared" si="1"/>
        <v>17620</v>
      </c>
      <c r="D18" s="384">
        <v>9</v>
      </c>
      <c r="E18" s="384">
        <v>740</v>
      </c>
      <c r="F18" s="384">
        <v>1004</v>
      </c>
      <c r="G18" s="384">
        <v>8508</v>
      </c>
      <c r="H18" s="384">
        <v>7359</v>
      </c>
      <c r="I18" s="899">
        <v>75.385260021416272</v>
      </c>
      <c r="J18" s="899">
        <f t="shared" si="0"/>
        <v>87.976832434591572</v>
      </c>
      <c r="K18" s="899">
        <f t="shared" si="0"/>
        <v>29.032258064516132</v>
      </c>
      <c r="L18" s="899">
        <f t="shared" si="0"/>
        <v>50.237610319076708</v>
      </c>
      <c r="M18" s="899">
        <f t="shared" si="0"/>
        <v>57.305936073059357</v>
      </c>
      <c r="N18" s="900">
        <f t="shared" si="0"/>
        <v>91.859209673936519</v>
      </c>
      <c r="O18" s="899">
        <f t="shared" si="0"/>
        <v>97.989347536617842</v>
      </c>
      <c r="R18" s="323">
        <v>20028</v>
      </c>
      <c r="S18" s="384">
        <v>31</v>
      </c>
      <c r="T18" s="384">
        <v>1473</v>
      </c>
      <c r="U18" s="384">
        <v>1752</v>
      </c>
      <c r="V18" s="384">
        <v>9262</v>
      </c>
      <c r="W18" s="384">
        <v>7510</v>
      </c>
      <c r="X18" s="323">
        <v>21479</v>
      </c>
    </row>
    <row r="19" spans="1:213" ht="13.5" thickBot="1">
      <c r="A19" s="882" t="s">
        <v>191</v>
      </c>
      <c r="B19" s="883">
        <v>31285</v>
      </c>
      <c r="C19" s="883">
        <f t="shared" si="1"/>
        <v>30020</v>
      </c>
      <c r="D19" s="883">
        <v>68</v>
      </c>
      <c r="E19" s="883">
        <v>2541</v>
      </c>
      <c r="F19" s="883">
        <v>3254</v>
      </c>
      <c r="G19" s="883">
        <v>14197</v>
      </c>
      <c r="H19" s="883">
        <v>9960</v>
      </c>
      <c r="I19" s="899">
        <v>84.1</v>
      </c>
      <c r="J19" s="901">
        <f t="shared" si="0"/>
        <v>76.695110111900249</v>
      </c>
      <c r="K19" s="901">
        <f t="shared" si="0"/>
        <v>53.968253968253968</v>
      </c>
      <c r="L19" s="901">
        <f t="shared" si="0"/>
        <v>72.70386266094421</v>
      </c>
      <c r="M19" s="901">
        <f t="shared" si="0"/>
        <v>80.764457681806903</v>
      </c>
      <c r="N19" s="902">
        <f t="shared" si="0"/>
        <v>76.703225457885353</v>
      </c>
      <c r="O19" s="899">
        <f t="shared" si="0"/>
        <v>76.715705152892241</v>
      </c>
      <c r="R19" s="323">
        <v>39142</v>
      </c>
      <c r="S19" s="384">
        <v>126</v>
      </c>
      <c r="T19" s="384">
        <v>3495</v>
      </c>
      <c r="U19" s="384">
        <v>4029</v>
      </c>
      <c r="V19" s="384">
        <v>18509</v>
      </c>
      <c r="W19" s="384">
        <v>12983</v>
      </c>
      <c r="X19" s="323">
        <v>37212</v>
      </c>
    </row>
    <row r="20" spans="1:213" s="908" customFormat="1" ht="13.5" thickBot="1">
      <c r="A20" s="903" t="s">
        <v>269</v>
      </c>
      <c r="B20" s="922" t="s">
        <v>199</v>
      </c>
      <c r="C20" s="905">
        <f t="shared" ref="C20:H20" si="2">SUM(C6:C19)</f>
        <v>421407</v>
      </c>
      <c r="D20" s="904">
        <f t="shared" si="2"/>
        <v>844</v>
      </c>
      <c r="E20" s="904">
        <f t="shared" si="2"/>
        <v>27223</v>
      </c>
      <c r="F20" s="904">
        <f t="shared" si="2"/>
        <v>31160</v>
      </c>
      <c r="G20" s="904">
        <f t="shared" si="2"/>
        <v>232953</v>
      </c>
      <c r="H20" s="904">
        <f t="shared" si="2"/>
        <v>129227</v>
      </c>
      <c r="I20" s="920" t="s">
        <v>199</v>
      </c>
      <c r="J20" s="907">
        <f t="shared" si="0"/>
        <v>85.284861682556965</v>
      </c>
      <c r="K20" s="899">
        <f t="shared" si="0"/>
        <v>43.193449334698052</v>
      </c>
      <c r="L20" s="899">
        <f t="shared" si="0"/>
        <v>62.518372221201545</v>
      </c>
      <c r="M20" s="899">
        <f t="shared" si="0"/>
        <v>70.758680200740287</v>
      </c>
      <c r="N20" s="900">
        <f t="shared" si="0"/>
        <v>91.626481855869599</v>
      </c>
      <c r="O20" s="899">
        <f t="shared" si="0"/>
        <v>85.956498603166153</v>
      </c>
      <c r="P20" s="338"/>
      <c r="Q20" s="338"/>
      <c r="R20" s="384">
        <f t="shared" ref="R20:W20" si="3">SUM(R6:R19)</f>
        <v>494117</v>
      </c>
      <c r="S20" s="384">
        <f t="shared" si="3"/>
        <v>1954</v>
      </c>
      <c r="T20" s="384">
        <f t="shared" si="3"/>
        <v>43544</v>
      </c>
      <c r="U20" s="384">
        <f t="shared" si="3"/>
        <v>44037</v>
      </c>
      <c r="V20" s="384">
        <f t="shared" si="3"/>
        <v>254242</v>
      </c>
      <c r="W20" s="384">
        <f t="shared" si="3"/>
        <v>150340</v>
      </c>
      <c r="X20" s="384">
        <f>SUM(X6:X19)</f>
        <v>543606</v>
      </c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</row>
    <row r="21" spans="1:213">
      <c r="A21" s="903" t="s">
        <v>774</v>
      </c>
      <c r="B21" s="384">
        <f>SUM(B6:B19)</f>
        <v>426803</v>
      </c>
      <c r="C21" s="921"/>
      <c r="D21" s="384">
        <v>1079</v>
      </c>
      <c r="E21" s="384">
        <v>24909</v>
      </c>
      <c r="F21" s="384">
        <v>28453</v>
      </c>
      <c r="G21" s="384">
        <v>241062</v>
      </c>
      <c r="H21" s="384">
        <v>131300</v>
      </c>
      <c r="I21" s="899">
        <v>78.2</v>
      </c>
      <c r="J21" s="923"/>
      <c r="K21" s="899">
        <v>50.8</v>
      </c>
      <c r="L21" s="899">
        <v>57.5</v>
      </c>
      <c r="M21" s="899">
        <v>65.599999999999994</v>
      </c>
      <c r="N21" s="900">
        <v>82.9</v>
      </c>
      <c r="O21" s="899">
        <v>78.7</v>
      </c>
      <c r="X21" s="338"/>
      <c r="AZ21" s="348" t="s">
        <v>199</v>
      </c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</row>
    <row r="22" spans="1:213">
      <c r="C22" s="348" t="s">
        <v>210</v>
      </c>
      <c r="I22" s="338"/>
      <c r="J22" s="909" t="s">
        <v>199</v>
      </c>
      <c r="K22" s="338"/>
      <c r="O22" s="384"/>
      <c r="S22" s="338"/>
      <c r="T22" s="338"/>
      <c r="U22" s="338"/>
      <c r="V22" s="338"/>
    </row>
    <row r="23" spans="1:213">
      <c r="A23" s="1643"/>
      <c r="B23" s="1635" t="s">
        <v>775</v>
      </c>
      <c r="C23" s="1636"/>
      <c r="D23" s="1636"/>
      <c r="E23" s="1636"/>
      <c r="F23" s="1636"/>
      <c r="G23" s="1636"/>
      <c r="H23" s="1637"/>
      <c r="I23" s="1635" t="s">
        <v>776</v>
      </c>
      <c r="J23" s="1636"/>
      <c r="K23" s="1636"/>
      <c r="L23" s="1636"/>
      <c r="M23" s="1636"/>
      <c r="N23" s="1636"/>
      <c r="O23" s="1637"/>
      <c r="S23" s="338"/>
      <c r="T23" s="338"/>
      <c r="U23" s="338"/>
      <c r="V23" s="338"/>
    </row>
    <row r="24" spans="1:213" ht="12.75" customHeight="1">
      <c r="A24" s="1643"/>
      <c r="B24" s="1633" t="s">
        <v>777</v>
      </c>
      <c r="C24" s="1633" t="s">
        <v>759</v>
      </c>
      <c r="D24" s="1635" t="s">
        <v>275</v>
      </c>
      <c r="E24" s="1636"/>
      <c r="F24" s="1636"/>
      <c r="G24" s="1636"/>
      <c r="H24" s="1637"/>
      <c r="I24" s="1633" t="s">
        <v>777</v>
      </c>
      <c r="J24" s="1633" t="s">
        <v>759</v>
      </c>
      <c r="K24" s="1635" t="s">
        <v>275</v>
      </c>
      <c r="L24" s="1636"/>
      <c r="M24" s="1636"/>
      <c r="N24" s="1636"/>
      <c r="O24" s="1637"/>
      <c r="S24" s="338"/>
      <c r="T24" s="338"/>
      <c r="U24" s="338"/>
      <c r="V24" s="338"/>
    </row>
    <row r="25" spans="1:213">
      <c r="A25" s="1643"/>
      <c r="B25" s="1634"/>
      <c r="C25" s="1634"/>
      <c r="D25" s="910" t="s">
        <v>778</v>
      </c>
      <c r="E25" s="910" t="s">
        <v>779</v>
      </c>
      <c r="F25" s="910" t="s">
        <v>780</v>
      </c>
      <c r="G25" s="910" t="s">
        <v>781</v>
      </c>
      <c r="H25" s="910" t="s">
        <v>782</v>
      </c>
      <c r="I25" s="1634"/>
      <c r="J25" s="1634"/>
      <c r="K25" s="910" t="s">
        <v>778</v>
      </c>
      <c r="L25" s="910" t="s">
        <v>779</v>
      </c>
      <c r="M25" s="910" t="s">
        <v>780</v>
      </c>
      <c r="N25" s="910" t="s">
        <v>781</v>
      </c>
      <c r="O25" s="910" t="s">
        <v>782</v>
      </c>
      <c r="S25" s="338"/>
      <c r="T25" s="338"/>
      <c r="U25" s="338"/>
      <c r="V25" s="338"/>
    </row>
    <row r="26" spans="1:213">
      <c r="A26" s="884" t="s">
        <v>179</v>
      </c>
      <c r="B26" s="384">
        <v>53369</v>
      </c>
      <c r="C26" s="387">
        <f t="shared" ref="C26:C39" si="4">SUM(D26:H26)</f>
        <v>39025</v>
      </c>
      <c r="D26" s="387">
        <v>15</v>
      </c>
      <c r="E26" s="387">
        <v>983</v>
      </c>
      <c r="F26" s="387">
        <v>1489</v>
      </c>
      <c r="G26" s="387">
        <v>25290</v>
      </c>
      <c r="H26" s="387">
        <v>11248</v>
      </c>
      <c r="I26" s="384">
        <v>621</v>
      </c>
      <c r="J26" s="885">
        <f t="shared" ref="J26:J39" si="5">SUM(K26:O26)</f>
        <v>1192</v>
      </c>
      <c r="K26" s="384">
        <v>2</v>
      </c>
      <c r="L26" s="384">
        <v>42</v>
      </c>
      <c r="M26" s="384">
        <v>98</v>
      </c>
      <c r="N26" s="384">
        <v>581</v>
      </c>
      <c r="O26" s="384">
        <v>469</v>
      </c>
      <c r="S26" s="338"/>
      <c r="T26" s="338"/>
      <c r="U26" s="338"/>
      <c r="V26" s="338"/>
    </row>
    <row r="27" spans="1:213">
      <c r="A27" s="881" t="s">
        <v>180</v>
      </c>
      <c r="B27" s="384">
        <v>29067</v>
      </c>
      <c r="C27" s="384">
        <f t="shared" si="4"/>
        <v>41822</v>
      </c>
      <c r="D27" s="384">
        <v>205</v>
      </c>
      <c r="E27" s="384">
        <v>2974</v>
      </c>
      <c r="F27" s="384">
        <v>2646</v>
      </c>
      <c r="G27" s="384">
        <v>24987</v>
      </c>
      <c r="H27" s="384">
        <v>11010</v>
      </c>
      <c r="I27" s="384">
        <v>10</v>
      </c>
      <c r="J27" s="885">
        <f t="shared" si="5"/>
        <v>885</v>
      </c>
      <c r="K27" s="384">
        <v>5</v>
      </c>
      <c r="L27" s="384">
        <v>60</v>
      </c>
      <c r="M27" s="384">
        <v>51</v>
      </c>
      <c r="N27" s="384">
        <v>363</v>
      </c>
      <c r="O27" s="384">
        <v>406</v>
      </c>
      <c r="S27" s="338"/>
      <c r="T27" s="338"/>
      <c r="U27" s="338"/>
      <c r="V27" s="338"/>
    </row>
    <row r="28" spans="1:213">
      <c r="A28" s="881" t="s">
        <v>181</v>
      </c>
      <c r="B28" s="384">
        <v>24025</v>
      </c>
      <c r="C28" s="384">
        <f t="shared" si="4"/>
        <v>28399</v>
      </c>
      <c r="D28" s="384">
        <v>63</v>
      </c>
      <c r="E28" s="384">
        <v>2864</v>
      </c>
      <c r="F28" s="384">
        <v>2129</v>
      </c>
      <c r="G28" s="384">
        <v>14223</v>
      </c>
      <c r="H28" s="384">
        <v>9120</v>
      </c>
      <c r="I28" s="384">
        <v>0</v>
      </c>
      <c r="J28" s="885">
        <f t="shared" si="5"/>
        <v>9</v>
      </c>
      <c r="K28" s="384"/>
      <c r="L28" s="384"/>
      <c r="M28" s="384"/>
      <c r="N28" s="384">
        <v>2</v>
      </c>
      <c r="O28" s="384">
        <v>7</v>
      </c>
      <c r="S28" s="338"/>
      <c r="T28" s="338"/>
      <c r="U28" s="338"/>
      <c r="V28" s="338"/>
    </row>
    <row r="29" spans="1:213">
      <c r="A29" s="881" t="s">
        <v>182</v>
      </c>
      <c r="B29" s="384">
        <v>22935</v>
      </c>
      <c r="C29" s="384">
        <f t="shared" si="4"/>
        <v>19588</v>
      </c>
      <c r="D29" s="384">
        <v>31</v>
      </c>
      <c r="E29" s="384">
        <v>1067</v>
      </c>
      <c r="F29" s="384">
        <v>1025</v>
      </c>
      <c r="G29" s="384">
        <v>10812</v>
      </c>
      <c r="H29" s="384">
        <v>6653</v>
      </c>
      <c r="I29" s="384">
        <v>284</v>
      </c>
      <c r="J29" s="885">
        <f t="shared" si="5"/>
        <v>454</v>
      </c>
      <c r="K29" s="384">
        <v>2</v>
      </c>
      <c r="L29" s="384">
        <v>16</v>
      </c>
      <c r="M29" s="384">
        <v>25</v>
      </c>
      <c r="N29" s="384">
        <v>202</v>
      </c>
      <c r="O29" s="384">
        <v>209</v>
      </c>
      <c r="S29" s="338"/>
      <c r="T29" s="338"/>
      <c r="U29" s="338"/>
      <c r="V29" s="338"/>
    </row>
    <row r="30" spans="1:213">
      <c r="A30" s="881" t="s">
        <v>773</v>
      </c>
      <c r="B30" s="384">
        <v>56689</v>
      </c>
      <c r="C30" s="384">
        <f t="shared" si="4"/>
        <v>60204</v>
      </c>
      <c r="D30" s="384">
        <v>78</v>
      </c>
      <c r="E30" s="384">
        <v>3014</v>
      </c>
      <c r="F30" s="384">
        <v>3376</v>
      </c>
      <c r="G30" s="384">
        <v>36823</v>
      </c>
      <c r="H30" s="384">
        <v>16913</v>
      </c>
      <c r="I30" s="384">
        <v>1634</v>
      </c>
      <c r="J30" s="885">
        <f t="shared" si="5"/>
        <v>2092</v>
      </c>
      <c r="K30" s="384">
        <v>5</v>
      </c>
      <c r="L30" s="384">
        <v>76</v>
      </c>
      <c r="M30" s="384">
        <v>93</v>
      </c>
      <c r="N30" s="384">
        <v>957</v>
      </c>
      <c r="O30" s="384">
        <v>961</v>
      </c>
      <c r="S30" s="338"/>
      <c r="T30" s="338"/>
      <c r="U30" s="338"/>
      <c r="V30" s="338"/>
    </row>
    <row r="31" spans="1:213">
      <c r="A31" s="881" t="s">
        <v>183</v>
      </c>
      <c r="B31" s="384">
        <v>32610</v>
      </c>
      <c r="C31" s="384">
        <f t="shared" si="4"/>
        <v>26803</v>
      </c>
      <c r="D31" s="384">
        <v>113</v>
      </c>
      <c r="E31" s="384">
        <v>2707</v>
      </c>
      <c r="F31" s="384">
        <v>3422</v>
      </c>
      <c r="G31" s="384">
        <v>12690</v>
      </c>
      <c r="H31" s="384">
        <v>7871</v>
      </c>
      <c r="I31" s="384">
        <v>526</v>
      </c>
      <c r="J31" s="885">
        <f t="shared" si="5"/>
        <v>108</v>
      </c>
      <c r="K31" s="384"/>
      <c r="L31" s="384">
        <v>5</v>
      </c>
      <c r="M31" s="384">
        <v>9</v>
      </c>
      <c r="N31" s="384">
        <v>34</v>
      </c>
      <c r="O31" s="384">
        <v>60</v>
      </c>
      <c r="S31" s="338"/>
      <c r="T31" s="338"/>
      <c r="U31" s="338"/>
      <c r="V31" s="338"/>
    </row>
    <row r="32" spans="1:213">
      <c r="A32" s="881" t="s">
        <v>184</v>
      </c>
      <c r="B32" s="384">
        <v>18001</v>
      </c>
      <c r="C32" s="384">
        <f t="shared" si="4"/>
        <v>18413</v>
      </c>
      <c r="D32" s="384">
        <v>31</v>
      </c>
      <c r="E32" s="384">
        <v>1331</v>
      </c>
      <c r="F32" s="384">
        <v>2607</v>
      </c>
      <c r="G32" s="384">
        <v>9984</v>
      </c>
      <c r="H32" s="384">
        <v>4460</v>
      </c>
      <c r="I32" s="384">
        <v>409</v>
      </c>
      <c r="J32" s="885">
        <f t="shared" si="5"/>
        <v>331</v>
      </c>
      <c r="K32" s="384"/>
      <c r="L32" s="384">
        <v>59</v>
      </c>
      <c r="M32" s="384">
        <v>31</v>
      </c>
      <c r="N32" s="384">
        <v>100</v>
      </c>
      <c r="O32" s="384">
        <v>141</v>
      </c>
      <c r="S32" s="338"/>
      <c r="T32" s="338"/>
      <c r="U32" s="338"/>
      <c r="V32" s="338"/>
    </row>
    <row r="33" spans="1:22">
      <c r="A33" s="881" t="s">
        <v>185</v>
      </c>
      <c r="B33" s="384">
        <v>24536</v>
      </c>
      <c r="C33" s="384">
        <f t="shared" si="4"/>
        <v>25337</v>
      </c>
      <c r="D33" s="384">
        <v>38</v>
      </c>
      <c r="E33" s="384">
        <v>2188</v>
      </c>
      <c r="F33" s="384">
        <v>1821</v>
      </c>
      <c r="G33" s="384">
        <v>15055</v>
      </c>
      <c r="H33" s="384">
        <v>6235</v>
      </c>
      <c r="I33" s="384">
        <v>66</v>
      </c>
      <c r="J33" s="885">
        <f t="shared" si="5"/>
        <v>316</v>
      </c>
      <c r="K33" s="384"/>
      <c r="L33" s="384">
        <v>5</v>
      </c>
      <c r="M33" s="384">
        <v>7</v>
      </c>
      <c r="N33" s="384">
        <v>156</v>
      </c>
      <c r="O33" s="384">
        <v>148</v>
      </c>
      <c r="S33" s="338"/>
      <c r="T33" s="338"/>
      <c r="U33" s="338"/>
      <c r="V33" s="338"/>
    </row>
    <row r="34" spans="1:22">
      <c r="A34" s="881" t="s">
        <v>186</v>
      </c>
      <c r="B34" s="384">
        <v>27651</v>
      </c>
      <c r="C34" s="384">
        <f t="shared" si="4"/>
        <v>31964</v>
      </c>
      <c r="D34" s="384">
        <v>58</v>
      </c>
      <c r="E34" s="384">
        <v>1866</v>
      </c>
      <c r="F34" s="384">
        <v>1497</v>
      </c>
      <c r="G34" s="384">
        <v>19670</v>
      </c>
      <c r="H34" s="384">
        <v>8873</v>
      </c>
      <c r="I34" s="384">
        <v>4</v>
      </c>
      <c r="J34" s="885">
        <f t="shared" si="5"/>
        <v>376</v>
      </c>
      <c r="K34" s="384">
        <v>6</v>
      </c>
      <c r="L34" s="384">
        <v>21</v>
      </c>
      <c r="M34" s="384">
        <v>14</v>
      </c>
      <c r="N34" s="384">
        <v>121</v>
      </c>
      <c r="O34" s="384">
        <v>214</v>
      </c>
      <c r="S34" s="338"/>
      <c r="T34" s="338"/>
      <c r="U34" s="338"/>
      <c r="V34" s="338"/>
    </row>
    <row r="35" spans="1:22">
      <c r="A35" s="881" t="s">
        <v>187</v>
      </c>
      <c r="B35" s="384">
        <v>38764</v>
      </c>
      <c r="C35" s="384">
        <f t="shared" si="4"/>
        <v>45896</v>
      </c>
      <c r="D35" s="384">
        <v>55</v>
      </c>
      <c r="E35" s="384">
        <v>2960</v>
      </c>
      <c r="F35" s="384">
        <v>2605</v>
      </c>
      <c r="G35" s="384">
        <v>25228</v>
      </c>
      <c r="H35" s="384">
        <v>15048</v>
      </c>
      <c r="I35" s="384">
        <v>503</v>
      </c>
      <c r="J35" s="885">
        <f t="shared" si="5"/>
        <v>603</v>
      </c>
      <c r="K35" s="384">
        <v>2</v>
      </c>
      <c r="L35" s="384">
        <v>22</v>
      </c>
      <c r="M35" s="384">
        <v>16</v>
      </c>
      <c r="N35" s="384">
        <v>265</v>
      </c>
      <c r="O35" s="384">
        <v>298</v>
      </c>
      <c r="S35" s="338"/>
      <c r="T35" s="338"/>
      <c r="U35" s="338"/>
      <c r="V35" s="338"/>
    </row>
    <row r="36" spans="1:22">
      <c r="A36" s="881" t="s">
        <v>188</v>
      </c>
      <c r="B36" s="384">
        <v>25072</v>
      </c>
      <c r="C36" s="384">
        <f t="shared" si="4"/>
        <v>23184</v>
      </c>
      <c r="D36" s="384">
        <v>33</v>
      </c>
      <c r="E36" s="384">
        <v>1193</v>
      </c>
      <c r="F36" s="384">
        <v>3163</v>
      </c>
      <c r="G36" s="384">
        <v>10846</v>
      </c>
      <c r="H36" s="384">
        <v>7949</v>
      </c>
      <c r="I36" s="384">
        <v>567</v>
      </c>
      <c r="J36" s="885">
        <f t="shared" si="5"/>
        <v>765</v>
      </c>
      <c r="K36" s="384">
        <v>1</v>
      </c>
      <c r="L36" s="384">
        <v>74</v>
      </c>
      <c r="M36" s="384">
        <v>101</v>
      </c>
      <c r="N36" s="384">
        <v>319</v>
      </c>
      <c r="O36" s="384">
        <v>270</v>
      </c>
      <c r="S36" s="338"/>
      <c r="T36" s="338"/>
      <c r="U36" s="338"/>
      <c r="V36" s="338"/>
    </row>
    <row r="37" spans="1:22">
      <c r="A37" s="881" t="s">
        <v>189</v>
      </c>
      <c r="B37" s="384">
        <v>27857</v>
      </c>
      <c r="C37" s="384">
        <f t="shared" si="4"/>
        <v>20655</v>
      </c>
      <c r="D37" s="384">
        <v>50</v>
      </c>
      <c r="E37" s="384">
        <v>805</v>
      </c>
      <c r="F37" s="384">
        <v>1142</v>
      </c>
      <c r="G37" s="384">
        <v>11578</v>
      </c>
      <c r="H37" s="384">
        <v>7080</v>
      </c>
      <c r="I37" s="384">
        <v>171</v>
      </c>
      <c r="J37" s="885">
        <f t="shared" si="5"/>
        <v>644</v>
      </c>
      <c r="K37" s="384"/>
      <c r="L37" s="384">
        <v>93</v>
      </c>
      <c r="M37" s="384">
        <v>14</v>
      </c>
      <c r="N37" s="384">
        <v>233</v>
      </c>
      <c r="O37" s="384">
        <v>304</v>
      </c>
      <c r="S37" s="338"/>
      <c r="T37" s="338"/>
      <c r="U37" s="338"/>
      <c r="V37" s="338"/>
    </row>
    <row r="38" spans="1:22">
      <c r="A38" s="881" t="s">
        <v>190</v>
      </c>
      <c r="B38" s="384">
        <v>16325</v>
      </c>
      <c r="C38" s="384">
        <f t="shared" si="4"/>
        <v>17640</v>
      </c>
      <c r="D38" s="384">
        <v>9</v>
      </c>
      <c r="E38" s="384">
        <v>740</v>
      </c>
      <c r="F38" s="384">
        <v>1004</v>
      </c>
      <c r="G38" s="384">
        <v>8508</v>
      </c>
      <c r="H38" s="384">
        <v>7379</v>
      </c>
      <c r="I38" s="384">
        <v>165</v>
      </c>
      <c r="J38" s="885">
        <f t="shared" si="5"/>
        <v>580</v>
      </c>
      <c r="K38" s="384"/>
      <c r="L38" s="384"/>
      <c r="M38" s="384">
        <v>10</v>
      </c>
      <c r="N38" s="384">
        <v>200</v>
      </c>
      <c r="O38" s="384">
        <v>370</v>
      </c>
    </row>
    <row r="39" spans="1:22">
      <c r="A39" s="882" t="s">
        <v>191</v>
      </c>
      <c r="B39" s="883">
        <v>31803</v>
      </c>
      <c r="C39" s="883">
        <f t="shared" si="4"/>
        <v>30327</v>
      </c>
      <c r="D39" s="883">
        <v>68</v>
      </c>
      <c r="E39" s="883">
        <v>2541</v>
      </c>
      <c r="F39" s="883">
        <v>3254</v>
      </c>
      <c r="G39" s="883">
        <v>14355</v>
      </c>
      <c r="H39" s="883">
        <v>10109</v>
      </c>
      <c r="I39" s="904">
        <v>214</v>
      </c>
      <c r="J39" s="885">
        <f t="shared" si="5"/>
        <v>433</v>
      </c>
      <c r="K39" s="384"/>
      <c r="L39" s="384">
        <v>15</v>
      </c>
      <c r="M39" s="384">
        <v>15</v>
      </c>
      <c r="N39" s="384">
        <v>207</v>
      </c>
      <c r="O39" s="384">
        <v>196</v>
      </c>
    </row>
    <row r="40" spans="1:22">
      <c r="A40" s="903" t="s">
        <v>269</v>
      </c>
      <c r="B40" s="921"/>
      <c r="C40" s="384">
        <f t="shared" ref="C40:H40" si="6">SUM(C26:C39)</f>
        <v>429257</v>
      </c>
      <c r="D40" s="904">
        <f t="shared" si="6"/>
        <v>847</v>
      </c>
      <c r="E40" s="904">
        <f t="shared" si="6"/>
        <v>27233</v>
      </c>
      <c r="F40" s="904">
        <f t="shared" si="6"/>
        <v>31180</v>
      </c>
      <c r="G40" s="904">
        <f t="shared" si="6"/>
        <v>240049</v>
      </c>
      <c r="H40" s="904">
        <f t="shared" si="6"/>
        <v>129948</v>
      </c>
      <c r="I40" s="922"/>
      <c r="J40" s="384">
        <f t="shared" ref="J40:O40" si="7">SUM(J26:J39)</f>
        <v>8788</v>
      </c>
      <c r="K40" s="384">
        <f t="shared" si="7"/>
        <v>23</v>
      </c>
      <c r="L40" s="384">
        <f t="shared" si="7"/>
        <v>488</v>
      </c>
      <c r="M40" s="384">
        <f t="shared" si="7"/>
        <v>484</v>
      </c>
      <c r="N40" s="384">
        <f t="shared" si="7"/>
        <v>3740</v>
      </c>
      <c r="O40" s="384">
        <f t="shared" si="7"/>
        <v>4053</v>
      </c>
    </row>
    <row r="41" spans="1:22">
      <c r="A41" s="903" t="s">
        <v>774</v>
      </c>
      <c r="B41" s="384">
        <f>SUM(B26:B40)</f>
        <v>428704</v>
      </c>
      <c r="C41" s="921"/>
      <c r="D41" s="384">
        <v>1079</v>
      </c>
      <c r="E41" s="384">
        <v>24909</v>
      </c>
      <c r="F41" s="384">
        <v>28453</v>
      </c>
      <c r="G41" s="384">
        <v>241961</v>
      </c>
      <c r="H41" s="384">
        <v>132302</v>
      </c>
      <c r="I41" s="384">
        <v>5174</v>
      </c>
      <c r="J41" s="922"/>
      <c r="K41" s="384">
        <v>35</v>
      </c>
      <c r="L41" s="384">
        <v>255</v>
      </c>
      <c r="M41" s="384">
        <v>325</v>
      </c>
      <c r="N41" s="384">
        <v>2393</v>
      </c>
      <c r="O41" s="384">
        <v>2166</v>
      </c>
    </row>
    <row r="42" spans="1:22">
      <c r="A42" s="911"/>
      <c r="B42" s="1636" t="s">
        <v>783</v>
      </c>
      <c r="C42" s="1636"/>
      <c r="D42" s="1636"/>
      <c r="E42" s="1636"/>
      <c r="F42" s="1636"/>
      <c r="G42" s="1636"/>
      <c r="H42" s="1637"/>
      <c r="I42" s="1643" t="s">
        <v>784</v>
      </c>
      <c r="J42" s="1643"/>
      <c r="K42" s="1643"/>
      <c r="L42" s="1643"/>
      <c r="M42" s="1643"/>
      <c r="N42" s="1643"/>
      <c r="O42" s="1635"/>
      <c r="P42" s="909"/>
      <c r="Q42" s="909"/>
      <c r="R42" s="909"/>
      <c r="S42" s="909"/>
      <c r="T42" s="909"/>
      <c r="U42" s="338"/>
    </row>
    <row r="43" spans="1:22" ht="12.75" customHeight="1">
      <c r="A43" s="1643"/>
      <c r="B43" s="1633" t="s">
        <v>777</v>
      </c>
      <c r="C43" s="1633" t="s">
        <v>759</v>
      </c>
      <c r="D43" s="1635" t="s">
        <v>275</v>
      </c>
      <c r="E43" s="1636"/>
      <c r="F43" s="1636"/>
      <c r="G43" s="1636"/>
      <c r="H43" s="1637"/>
      <c r="I43" s="1633" t="s">
        <v>777</v>
      </c>
      <c r="J43" s="1633" t="s">
        <v>759</v>
      </c>
      <c r="K43" s="1635" t="s">
        <v>275</v>
      </c>
      <c r="L43" s="1636"/>
      <c r="M43" s="1636"/>
      <c r="N43" s="1636"/>
      <c r="O43" s="1637"/>
    </row>
    <row r="44" spans="1:22">
      <c r="A44" s="1643"/>
      <c r="B44" s="1634"/>
      <c r="C44" s="1634"/>
      <c r="D44" s="910" t="s">
        <v>778</v>
      </c>
      <c r="E44" s="910" t="s">
        <v>779</v>
      </c>
      <c r="F44" s="910" t="s">
        <v>780</v>
      </c>
      <c r="G44" s="910" t="s">
        <v>781</v>
      </c>
      <c r="H44" s="910" t="s">
        <v>782</v>
      </c>
      <c r="I44" s="1634"/>
      <c r="J44" s="1634"/>
      <c r="K44" s="910" t="s">
        <v>778</v>
      </c>
      <c r="L44" s="910" t="s">
        <v>779</v>
      </c>
      <c r="M44" s="910" t="s">
        <v>780</v>
      </c>
      <c r="N44" s="910" t="s">
        <v>781</v>
      </c>
      <c r="O44" s="910" t="s">
        <v>782</v>
      </c>
    </row>
    <row r="45" spans="1:22">
      <c r="A45" s="884" t="s">
        <v>179</v>
      </c>
      <c r="B45" s="886">
        <f>B26-I26</f>
        <v>52748</v>
      </c>
      <c r="C45" s="886">
        <f>C26-J26</f>
        <v>37833</v>
      </c>
      <c r="D45" s="886">
        <f t="shared" ref="C45:H59" si="8">D26-K26</f>
        <v>13</v>
      </c>
      <c r="E45" s="886">
        <f t="shared" si="8"/>
        <v>941</v>
      </c>
      <c r="F45" s="886">
        <f t="shared" si="8"/>
        <v>1391</v>
      </c>
      <c r="G45" s="886">
        <f t="shared" si="8"/>
        <v>24709</v>
      </c>
      <c r="H45" s="886">
        <f t="shared" si="8"/>
        <v>10779</v>
      </c>
      <c r="I45" s="906">
        <f t="shared" ref="I45:O59" si="9">(B45/B6)*100</f>
        <v>98.836403155389831</v>
      </c>
      <c r="J45" s="899">
        <f t="shared" si="9"/>
        <v>97.007692307692309</v>
      </c>
      <c r="K45" s="899">
        <f t="shared" si="9"/>
        <v>86.666666666666671</v>
      </c>
      <c r="L45" s="885">
        <f t="shared" si="9"/>
        <v>95.824847250509166</v>
      </c>
      <c r="M45" s="899">
        <f t="shared" si="9"/>
        <v>93.796358732299396</v>
      </c>
      <c r="N45" s="899">
        <f t="shared" si="9"/>
        <v>97.702649268485558</v>
      </c>
      <c r="O45" s="899">
        <f t="shared" si="9"/>
        <v>95.983971504897596</v>
      </c>
    </row>
    <row r="46" spans="1:22">
      <c r="A46" s="881" t="s">
        <v>180</v>
      </c>
      <c r="B46" s="886">
        <f t="shared" ref="B46:B58" si="10">B27-I27</f>
        <v>29057</v>
      </c>
      <c r="C46" s="886">
        <f t="shared" si="8"/>
        <v>40937</v>
      </c>
      <c r="D46" s="886">
        <f t="shared" si="8"/>
        <v>200</v>
      </c>
      <c r="E46" s="886">
        <f t="shared" si="8"/>
        <v>2914</v>
      </c>
      <c r="F46" s="886">
        <f t="shared" si="8"/>
        <v>2595</v>
      </c>
      <c r="G46" s="886">
        <f t="shared" si="8"/>
        <v>24624</v>
      </c>
      <c r="H46" s="886">
        <f t="shared" si="8"/>
        <v>10604</v>
      </c>
      <c r="I46" s="906">
        <f t="shared" si="9"/>
        <v>99.965596724808208</v>
      </c>
      <c r="J46" s="899">
        <f t="shared" si="9"/>
        <v>116.84267610457815</v>
      </c>
      <c r="K46" s="899">
        <f t="shared" si="9"/>
        <v>97.560975609756099</v>
      </c>
      <c r="L46" s="899">
        <f t="shared" si="9"/>
        <v>97.982515131136523</v>
      </c>
      <c r="M46" s="899">
        <f t="shared" si="9"/>
        <v>98.221044663133995</v>
      </c>
      <c r="N46" s="899">
        <f t="shared" si="9"/>
        <v>135.25954408129635</v>
      </c>
      <c r="O46" s="899">
        <f t="shared" si="9"/>
        <v>96.312443233424162</v>
      </c>
    </row>
    <row r="47" spans="1:22">
      <c r="A47" s="881" t="s">
        <v>181</v>
      </c>
      <c r="B47" s="886">
        <f t="shared" si="10"/>
        <v>24025</v>
      </c>
      <c r="C47" s="886">
        <f t="shared" si="8"/>
        <v>28390</v>
      </c>
      <c r="D47" s="886">
        <f t="shared" si="8"/>
        <v>63</v>
      </c>
      <c r="E47" s="886">
        <f t="shared" si="8"/>
        <v>2864</v>
      </c>
      <c r="F47" s="886">
        <f t="shared" si="8"/>
        <v>2129</v>
      </c>
      <c r="G47" s="886">
        <f>G28-N28</f>
        <v>14221</v>
      </c>
      <c r="H47" s="886">
        <f>H28-O28</f>
        <v>9113</v>
      </c>
      <c r="I47" s="906">
        <f t="shared" si="9"/>
        <v>100</v>
      </c>
      <c r="J47" s="899">
        <f t="shared" si="9"/>
        <v>98.504562645293362</v>
      </c>
      <c r="K47" s="899">
        <f t="shared" si="9"/>
        <v>100</v>
      </c>
      <c r="L47" s="899">
        <f t="shared" si="9"/>
        <v>100</v>
      </c>
      <c r="M47" s="899">
        <f t="shared" si="9"/>
        <v>100</v>
      </c>
      <c r="N47" s="899">
        <f t="shared" si="9"/>
        <v>97.104813929668836</v>
      </c>
      <c r="O47" s="899">
        <f t="shared" si="9"/>
        <v>99.923245614035082</v>
      </c>
    </row>
    <row r="48" spans="1:22">
      <c r="A48" s="881" t="s">
        <v>182</v>
      </c>
      <c r="B48" s="886">
        <f t="shared" si="10"/>
        <v>22651</v>
      </c>
      <c r="C48" s="886">
        <f t="shared" si="8"/>
        <v>19134</v>
      </c>
      <c r="D48" s="886">
        <f t="shared" si="8"/>
        <v>29</v>
      </c>
      <c r="E48" s="886">
        <f t="shared" si="8"/>
        <v>1051</v>
      </c>
      <c r="F48" s="886">
        <f t="shared" si="8"/>
        <v>1000</v>
      </c>
      <c r="G48" s="886">
        <f>G29-N29</f>
        <v>10610</v>
      </c>
      <c r="H48" s="886">
        <f>H29-O29</f>
        <v>6444</v>
      </c>
      <c r="I48" s="906">
        <f t="shared" si="9"/>
        <v>98.778945532248912</v>
      </c>
      <c r="J48" s="899">
        <f t="shared" si="9"/>
        <v>97.862111292962368</v>
      </c>
      <c r="K48" s="899">
        <f t="shared" si="9"/>
        <v>93.548387096774192</v>
      </c>
      <c r="L48" s="899">
        <f t="shared" si="9"/>
        <v>98.500468603561387</v>
      </c>
      <c r="M48" s="899">
        <f t="shared" si="9"/>
        <v>97.560975609756099</v>
      </c>
      <c r="N48" s="899">
        <f t="shared" si="9"/>
        <v>98.249837947958142</v>
      </c>
      <c r="O48" s="899">
        <f t="shared" si="9"/>
        <v>97.194570135746602</v>
      </c>
    </row>
    <row r="49" spans="1:15">
      <c r="A49" s="881" t="s">
        <v>773</v>
      </c>
      <c r="B49" s="886">
        <f t="shared" si="10"/>
        <v>55055</v>
      </c>
      <c r="C49" s="886">
        <f t="shared" si="8"/>
        <v>58112</v>
      </c>
      <c r="D49" s="886">
        <f t="shared" si="8"/>
        <v>73</v>
      </c>
      <c r="E49" s="886">
        <f t="shared" si="8"/>
        <v>2938</v>
      </c>
      <c r="F49" s="886">
        <f t="shared" si="8"/>
        <v>3283</v>
      </c>
      <c r="G49" s="886">
        <f t="shared" si="8"/>
        <v>35866</v>
      </c>
      <c r="H49" s="886">
        <f t="shared" si="8"/>
        <v>15952</v>
      </c>
      <c r="I49" s="906">
        <f t="shared" si="9"/>
        <v>98.419707181036486</v>
      </c>
      <c r="J49" s="899">
        <f t="shared" si="9"/>
        <v>96.525147830708917</v>
      </c>
      <c r="K49" s="899">
        <f t="shared" si="9"/>
        <v>93.589743589743591</v>
      </c>
      <c r="L49" s="899">
        <f t="shared" si="9"/>
        <v>97.478433974784338</v>
      </c>
      <c r="M49" s="899">
        <f t="shared" si="9"/>
        <v>97.245260663507111</v>
      </c>
      <c r="N49" s="899">
        <f t="shared" si="9"/>
        <v>97.401080846210249</v>
      </c>
      <c r="O49" s="899">
        <f t="shared" si="9"/>
        <v>94.317980251877259</v>
      </c>
    </row>
    <row r="50" spans="1:15">
      <c r="A50" s="881" t="s">
        <v>183</v>
      </c>
      <c r="B50" s="886">
        <f t="shared" si="10"/>
        <v>32084</v>
      </c>
      <c r="C50" s="886">
        <f t="shared" si="8"/>
        <v>26695</v>
      </c>
      <c r="D50" s="886">
        <f t="shared" si="8"/>
        <v>113</v>
      </c>
      <c r="E50" s="886">
        <f t="shared" si="8"/>
        <v>2702</v>
      </c>
      <c r="F50" s="886">
        <f t="shared" si="8"/>
        <v>3413</v>
      </c>
      <c r="G50" s="886">
        <f t="shared" si="8"/>
        <v>12656</v>
      </c>
      <c r="H50" s="886">
        <f t="shared" si="8"/>
        <v>7811</v>
      </c>
      <c r="I50" s="906">
        <f t="shared" si="9"/>
        <v>98.386997853419203</v>
      </c>
      <c r="J50" s="899">
        <f t="shared" si="9"/>
        <v>99.641670710313164</v>
      </c>
      <c r="K50" s="899">
        <f t="shared" si="9"/>
        <v>100</v>
      </c>
      <c r="L50" s="899">
        <f t="shared" si="9"/>
        <v>99.815293683043961</v>
      </c>
      <c r="M50" s="899">
        <f t="shared" si="9"/>
        <v>99.795321637426909</v>
      </c>
      <c r="N50" s="899">
        <f t="shared" si="9"/>
        <v>99.810725552050471</v>
      </c>
      <c r="O50" s="899">
        <f t="shared" si="9"/>
        <v>99.237708042180145</v>
      </c>
    </row>
    <row r="51" spans="1:15">
      <c r="A51" s="881" t="s">
        <v>184</v>
      </c>
      <c r="B51" s="886">
        <f t="shared" si="10"/>
        <v>17592</v>
      </c>
      <c r="C51" s="886">
        <f t="shared" si="8"/>
        <v>18082</v>
      </c>
      <c r="D51" s="886">
        <f t="shared" si="8"/>
        <v>31</v>
      </c>
      <c r="E51" s="886">
        <f t="shared" si="8"/>
        <v>1272</v>
      </c>
      <c r="F51" s="886">
        <f t="shared" si="8"/>
        <v>2576</v>
      </c>
      <c r="G51" s="886">
        <f t="shared" si="8"/>
        <v>9884</v>
      </c>
      <c r="H51" s="886">
        <f t="shared" si="8"/>
        <v>4319</v>
      </c>
      <c r="I51" s="906">
        <f t="shared" si="9"/>
        <v>97.755056679262054</v>
      </c>
      <c r="J51" s="899">
        <f t="shared" si="9"/>
        <v>98.335871220361099</v>
      </c>
      <c r="K51" s="899">
        <f t="shared" si="9"/>
        <v>100</v>
      </c>
      <c r="L51" s="899">
        <f t="shared" si="9"/>
        <v>96.217851739788202</v>
      </c>
      <c r="M51" s="899">
        <f t="shared" si="9"/>
        <v>99.115044247787608</v>
      </c>
      <c r="N51" s="899">
        <f t="shared" si="9"/>
        <v>98.998397435897431</v>
      </c>
      <c r="O51" s="899">
        <f t="shared" si="9"/>
        <v>97.012578616352201</v>
      </c>
    </row>
    <row r="52" spans="1:15">
      <c r="A52" s="881" t="s">
        <v>185</v>
      </c>
      <c r="B52" s="886">
        <f t="shared" si="10"/>
        <v>24470</v>
      </c>
      <c r="C52" s="886">
        <f t="shared" si="8"/>
        <v>25021</v>
      </c>
      <c r="D52" s="886">
        <f t="shared" si="8"/>
        <v>38</v>
      </c>
      <c r="E52" s="886">
        <f t="shared" si="8"/>
        <v>2183</v>
      </c>
      <c r="F52" s="886">
        <f t="shared" si="8"/>
        <v>1814</v>
      </c>
      <c r="G52" s="886">
        <f t="shared" si="8"/>
        <v>14899</v>
      </c>
      <c r="H52" s="886">
        <f t="shared" si="8"/>
        <v>6087</v>
      </c>
      <c r="I52" s="906">
        <f t="shared" si="9"/>
        <v>99.731007499184869</v>
      </c>
      <c r="J52" s="899">
        <f t="shared" si="9"/>
        <v>98.791803213961387</v>
      </c>
      <c r="K52" s="912">
        <f t="shared" si="9"/>
        <v>100</v>
      </c>
      <c r="L52" s="899">
        <f t="shared" si="9"/>
        <v>99.771480804387565</v>
      </c>
      <c r="M52" s="899">
        <f t="shared" si="9"/>
        <v>99.615595826468976</v>
      </c>
      <c r="N52" s="899">
        <f t="shared" si="9"/>
        <v>99.029577932868065</v>
      </c>
      <c r="O52" s="899">
        <f t="shared" si="9"/>
        <v>97.626303127506006</v>
      </c>
    </row>
    <row r="53" spans="1:15">
      <c r="A53" s="881" t="s">
        <v>186</v>
      </c>
      <c r="B53" s="886">
        <f t="shared" si="10"/>
        <v>27647</v>
      </c>
      <c r="C53" s="886">
        <f t="shared" si="8"/>
        <v>31588</v>
      </c>
      <c r="D53" s="886">
        <f t="shared" si="8"/>
        <v>52</v>
      </c>
      <c r="E53" s="886">
        <f t="shared" si="8"/>
        <v>1845</v>
      </c>
      <c r="F53" s="886">
        <f t="shared" si="8"/>
        <v>1483</v>
      </c>
      <c r="G53" s="886">
        <f t="shared" si="8"/>
        <v>19549</v>
      </c>
      <c r="H53" s="886">
        <f t="shared" si="8"/>
        <v>8659</v>
      </c>
      <c r="I53" s="906">
        <f t="shared" si="9"/>
        <v>99.985533977071356</v>
      </c>
      <c r="J53" s="899">
        <f t="shared" si="9"/>
        <v>100.28573242745571</v>
      </c>
      <c r="K53" s="899">
        <f t="shared" si="9"/>
        <v>89.65517241379311</v>
      </c>
      <c r="L53" s="899">
        <f t="shared" si="9"/>
        <v>98.874598070739552</v>
      </c>
      <c r="M53" s="899">
        <f t="shared" si="9"/>
        <v>99.064796259185044</v>
      </c>
      <c r="N53" s="899">
        <f t="shared" si="9"/>
        <v>100.58139534883721</v>
      </c>
      <c r="O53" s="899">
        <f t="shared" si="9"/>
        <v>100.2083092234695</v>
      </c>
    </row>
    <row r="54" spans="1:15">
      <c r="A54" s="881" t="s">
        <v>187</v>
      </c>
      <c r="B54" s="886">
        <f t="shared" si="10"/>
        <v>38261</v>
      </c>
      <c r="C54" s="886">
        <f t="shared" si="8"/>
        <v>45293</v>
      </c>
      <c r="D54" s="886">
        <f t="shared" si="8"/>
        <v>53</v>
      </c>
      <c r="E54" s="886">
        <f t="shared" si="8"/>
        <v>2938</v>
      </c>
      <c r="F54" s="886">
        <f t="shared" si="8"/>
        <v>2589</v>
      </c>
      <c r="G54" s="886">
        <f t="shared" si="8"/>
        <v>24963</v>
      </c>
      <c r="H54" s="886">
        <f t="shared" si="8"/>
        <v>14750</v>
      </c>
      <c r="I54" s="906">
        <f t="shared" si="9"/>
        <v>98.702404292642655</v>
      </c>
      <c r="J54" s="899">
        <f t="shared" si="9"/>
        <v>98.686160013944573</v>
      </c>
      <c r="K54" s="899">
        <f t="shared" si="9"/>
        <v>96.36363636363636</v>
      </c>
      <c r="L54" s="899">
        <f t="shared" si="9"/>
        <v>99.256756756756758</v>
      </c>
      <c r="M54" s="899">
        <f t="shared" si="9"/>
        <v>99.385796545105563</v>
      </c>
      <c r="N54" s="899">
        <f t="shared" si="9"/>
        <v>98.94957983193278</v>
      </c>
      <c r="O54" s="899">
        <f t="shared" si="9"/>
        <v>98.019670388091441</v>
      </c>
    </row>
    <row r="55" spans="1:15">
      <c r="A55" s="881" t="s">
        <v>188</v>
      </c>
      <c r="B55" s="886">
        <f t="shared" si="10"/>
        <v>24505</v>
      </c>
      <c r="C55" s="886">
        <f t="shared" si="8"/>
        <v>22419</v>
      </c>
      <c r="D55" s="886">
        <f t="shared" si="8"/>
        <v>32</v>
      </c>
      <c r="E55" s="886">
        <f t="shared" si="8"/>
        <v>1119</v>
      </c>
      <c r="F55" s="886">
        <f t="shared" si="8"/>
        <v>3062</v>
      </c>
      <c r="G55" s="886">
        <f t="shared" si="8"/>
        <v>10527</v>
      </c>
      <c r="H55" s="886">
        <f t="shared" si="8"/>
        <v>7679</v>
      </c>
      <c r="I55" s="906">
        <f t="shared" si="9"/>
        <v>97.73851308232291</v>
      </c>
      <c r="J55" s="899">
        <f t="shared" si="9"/>
        <v>97.009952401557769</v>
      </c>
      <c r="K55" s="899">
        <f t="shared" si="9"/>
        <v>106.66666666666667</v>
      </c>
      <c r="L55" s="899">
        <f t="shared" si="9"/>
        <v>93.797150041911152</v>
      </c>
      <c r="M55" s="899">
        <f t="shared" si="9"/>
        <v>96.806828959848247</v>
      </c>
      <c r="N55" s="899">
        <f t="shared" si="9"/>
        <v>97.400074019245011</v>
      </c>
      <c r="O55" s="899">
        <f t="shared" si="9"/>
        <v>97.006063668519445</v>
      </c>
    </row>
    <row r="56" spans="1:15">
      <c r="A56" s="881" t="s">
        <v>189</v>
      </c>
      <c r="B56" s="886">
        <f t="shared" si="10"/>
        <v>27686</v>
      </c>
      <c r="C56" s="886">
        <f t="shared" si="8"/>
        <v>20011</v>
      </c>
      <c r="D56" s="886">
        <f t="shared" si="8"/>
        <v>50</v>
      </c>
      <c r="E56" s="886">
        <f t="shared" si="8"/>
        <v>712</v>
      </c>
      <c r="F56" s="886">
        <f t="shared" si="8"/>
        <v>1128</v>
      </c>
      <c r="G56" s="886">
        <f t="shared" si="8"/>
        <v>11345</v>
      </c>
      <c r="H56" s="886">
        <f t="shared" si="8"/>
        <v>6776</v>
      </c>
      <c r="I56" s="906">
        <f t="shared" si="9"/>
        <v>101.16933421033399</v>
      </c>
      <c r="J56" s="899">
        <f t="shared" si="9"/>
        <v>99.339753772835579</v>
      </c>
      <c r="K56" s="899">
        <f t="shared" si="9"/>
        <v>100</v>
      </c>
      <c r="L56" s="899">
        <f t="shared" si="9"/>
        <v>88.447204968944106</v>
      </c>
      <c r="M56" s="899">
        <f t="shared" si="9"/>
        <v>98.774080560420316</v>
      </c>
      <c r="N56" s="899">
        <f t="shared" si="9"/>
        <v>100.35382574082266</v>
      </c>
      <c r="O56" s="899">
        <f t="shared" si="9"/>
        <v>99.035369774919616</v>
      </c>
    </row>
    <row r="57" spans="1:15">
      <c r="A57" s="881" t="s">
        <v>190</v>
      </c>
      <c r="B57" s="886">
        <f t="shared" si="10"/>
        <v>16160</v>
      </c>
      <c r="C57" s="886">
        <f t="shared" si="8"/>
        <v>17060</v>
      </c>
      <c r="D57" s="886">
        <f t="shared" si="8"/>
        <v>9</v>
      </c>
      <c r="E57" s="886">
        <f t="shared" si="8"/>
        <v>740</v>
      </c>
      <c r="F57" s="886">
        <f t="shared" si="8"/>
        <v>994</v>
      </c>
      <c r="G57" s="886">
        <f t="shared" si="8"/>
        <v>8308</v>
      </c>
      <c r="H57" s="886">
        <f t="shared" si="8"/>
        <v>7009</v>
      </c>
      <c r="I57" s="906">
        <f t="shared" si="9"/>
        <v>99.802371541501984</v>
      </c>
      <c r="J57" s="899">
        <f t="shared" si="9"/>
        <v>96.821793416572078</v>
      </c>
      <c r="K57" s="899">
        <f t="shared" si="9"/>
        <v>100</v>
      </c>
      <c r="L57" s="899">
        <f t="shared" si="9"/>
        <v>100</v>
      </c>
      <c r="M57" s="899">
        <f t="shared" si="9"/>
        <v>99.003984063745023</v>
      </c>
      <c r="N57" s="899">
        <f t="shared" si="9"/>
        <v>97.649271274094971</v>
      </c>
      <c r="O57" s="899">
        <f t="shared" si="9"/>
        <v>95.243919010735155</v>
      </c>
    </row>
    <row r="58" spans="1:15">
      <c r="A58" s="882" t="s">
        <v>191</v>
      </c>
      <c r="B58" s="886">
        <f t="shared" si="10"/>
        <v>31589</v>
      </c>
      <c r="C58" s="886">
        <f t="shared" si="8"/>
        <v>29894</v>
      </c>
      <c r="D58" s="886">
        <f t="shared" si="8"/>
        <v>68</v>
      </c>
      <c r="E58" s="886">
        <f t="shared" si="8"/>
        <v>2526</v>
      </c>
      <c r="F58" s="886">
        <f t="shared" si="8"/>
        <v>3239</v>
      </c>
      <c r="G58" s="886">
        <f t="shared" si="8"/>
        <v>14148</v>
      </c>
      <c r="H58" s="886">
        <f t="shared" si="8"/>
        <v>9913</v>
      </c>
      <c r="I58" s="906">
        <f t="shared" si="9"/>
        <v>100.97171168291514</v>
      </c>
      <c r="J58" s="899">
        <f t="shared" si="9"/>
        <v>99.580279813457693</v>
      </c>
      <c r="K58" s="899">
        <f t="shared" si="9"/>
        <v>100</v>
      </c>
      <c r="L58" s="899">
        <f t="shared" si="9"/>
        <v>99.409681227863047</v>
      </c>
      <c r="M58" s="899">
        <f t="shared" si="9"/>
        <v>99.539028887523045</v>
      </c>
      <c r="N58" s="899">
        <f t="shared" si="9"/>
        <v>99.654856659857714</v>
      </c>
      <c r="O58" s="899">
        <f t="shared" si="9"/>
        <v>99.528112449799195</v>
      </c>
    </row>
    <row r="59" spans="1:15">
      <c r="A59" s="903" t="s">
        <v>269</v>
      </c>
      <c r="B59" s="917" t="s">
        <v>199</v>
      </c>
      <c r="C59" s="913">
        <f t="shared" si="8"/>
        <v>420469</v>
      </c>
      <c r="D59" s="886">
        <f t="shared" si="8"/>
        <v>824</v>
      </c>
      <c r="E59" s="886">
        <f t="shared" si="8"/>
        <v>26745</v>
      </c>
      <c r="F59" s="886">
        <f t="shared" si="8"/>
        <v>30696</v>
      </c>
      <c r="G59" s="886">
        <f t="shared" si="8"/>
        <v>236309</v>
      </c>
      <c r="H59" s="886">
        <f t="shared" si="8"/>
        <v>125895</v>
      </c>
      <c r="I59" s="919" t="s">
        <v>199</v>
      </c>
      <c r="J59" s="914">
        <f t="shared" si="9"/>
        <v>99.777412335343257</v>
      </c>
      <c r="K59" s="914">
        <f t="shared" si="9"/>
        <v>97.630331753554501</v>
      </c>
      <c r="L59" s="914">
        <f t="shared" si="9"/>
        <v>98.244131800315913</v>
      </c>
      <c r="M59" s="914">
        <f t="shared" si="9"/>
        <v>98.510911424903725</v>
      </c>
      <c r="N59" s="914">
        <f t="shared" si="9"/>
        <v>101.44063394762033</v>
      </c>
      <c r="O59" s="914">
        <f t="shared" si="9"/>
        <v>97.42159146308434</v>
      </c>
    </row>
    <row r="60" spans="1:15">
      <c r="A60" s="903" t="s">
        <v>774</v>
      </c>
      <c r="B60" s="886">
        <f>SUM(B45:B58)</f>
        <v>423530</v>
      </c>
      <c r="C60" s="918"/>
      <c r="D60" s="915">
        <f>D41-K41</f>
        <v>1044</v>
      </c>
      <c r="E60" s="915">
        <f>E41-L41</f>
        <v>24654</v>
      </c>
      <c r="F60" s="915">
        <f>F41-M41</f>
        <v>28128</v>
      </c>
      <c r="G60" s="915">
        <f>G41-N41</f>
        <v>239568</v>
      </c>
      <c r="H60" s="915">
        <f>H41-O41</f>
        <v>130136</v>
      </c>
      <c r="I60" s="906">
        <f>(B60/B21)*100</f>
        <v>99.233135662120461</v>
      </c>
      <c r="J60" s="920" t="s">
        <v>199</v>
      </c>
      <c r="K60" s="899">
        <f>(D60/D21)*100</f>
        <v>96.756255792400367</v>
      </c>
      <c r="L60" s="899">
        <f>(E60/E21)*100</f>
        <v>98.976273636035174</v>
      </c>
      <c r="M60" s="899">
        <f>(F60/F21)*100</f>
        <v>98.857765437739431</v>
      </c>
      <c r="N60" s="899">
        <f>(G60/G21)*100</f>
        <v>99.380242427259375</v>
      </c>
      <c r="O60" s="899">
        <f>(H60/H21)*100</f>
        <v>99.113480578827122</v>
      </c>
    </row>
    <row r="61" spans="1:15">
      <c r="C61" s="338"/>
      <c r="D61" s="338"/>
    </row>
    <row r="62" spans="1:15">
      <c r="A62" s="1397"/>
      <c r="B62" s="1397"/>
      <c r="C62" s="1397"/>
      <c r="D62" s="1397"/>
      <c r="E62" s="1397"/>
      <c r="F62" s="1397"/>
      <c r="G62" s="1397"/>
      <c r="H62" s="1397"/>
      <c r="I62" s="1397"/>
      <c r="J62" s="1397"/>
      <c r="K62" s="1397"/>
      <c r="L62" s="1397"/>
      <c r="M62" s="1397"/>
      <c r="N62" s="1397"/>
      <c r="O62" s="1397"/>
    </row>
    <row r="63" spans="1:15">
      <c r="A63" s="1397">
        <v>45</v>
      </c>
      <c r="B63" s="1397"/>
      <c r="C63" s="1397"/>
      <c r="D63" s="1397"/>
      <c r="E63" s="1397"/>
      <c r="F63" s="1397"/>
      <c r="G63" s="1397"/>
      <c r="H63" s="1397"/>
      <c r="I63" s="1397"/>
      <c r="J63" s="1397"/>
      <c r="K63" s="1397"/>
      <c r="L63" s="1397"/>
      <c r="M63" s="1397"/>
      <c r="N63" s="1397"/>
      <c r="O63" s="1397"/>
    </row>
    <row r="64" spans="1:15" ht="18">
      <c r="H64" s="916"/>
    </row>
  </sheetData>
  <mergeCells count="38">
    <mergeCell ref="M4:M5"/>
    <mergeCell ref="N4:N5"/>
    <mergeCell ref="A63:O63"/>
    <mergeCell ref="A62:O62"/>
    <mergeCell ref="B42:H42"/>
    <mergeCell ref="I42:O42"/>
    <mergeCell ref="A43:A44"/>
    <mergeCell ref="B43:B44"/>
    <mergeCell ref="C43:C44"/>
    <mergeCell ref="D43:H43"/>
    <mergeCell ref="I43:I44"/>
    <mergeCell ref="J43:J44"/>
    <mergeCell ref="K43:O43"/>
    <mergeCell ref="A23:A25"/>
    <mergeCell ref="B23:H23"/>
    <mergeCell ref="I23:O23"/>
    <mergeCell ref="K4:K5"/>
    <mergeCell ref="B24:B25"/>
    <mergeCell ref="C24:C25"/>
    <mergeCell ref="D24:H24"/>
    <mergeCell ref="I24:I25"/>
    <mergeCell ref="J24:J25"/>
    <mergeCell ref="L4:L5"/>
    <mergeCell ref="K24:O24"/>
    <mergeCell ref="X3:X4"/>
    <mergeCell ref="A1:O1"/>
    <mergeCell ref="A3:A5"/>
    <mergeCell ref="B3:B5"/>
    <mergeCell ref="C3:C5"/>
    <mergeCell ref="I3:I5"/>
    <mergeCell ref="J3:J5"/>
    <mergeCell ref="D4:D5"/>
    <mergeCell ref="E4:E5"/>
    <mergeCell ref="F4:F5"/>
    <mergeCell ref="N2:O2"/>
    <mergeCell ref="O4:O5"/>
    <mergeCell ref="G4:G5"/>
    <mergeCell ref="H4:H5"/>
  </mergeCells>
  <pageMargins left="0.7" right="0.24" top="0.59" bottom="0.4" header="0.3" footer="0.3"/>
  <pageSetup scale="9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58"/>
  <sheetViews>
    <sheetView workbookViewId="0">
      <selection activeCell="C16" sqref="C16"/>
    </sheetView>
  </sheetViews>
  <sheetFormatPr defaultRowHeight="12.75"/>
  <cols>
    <col min="1" max="1" width="9.140625" style="279"/>
    <col min="2" max="2" width="10" style="279" customWidth="1"/>
    <col min="3" max="3" width="10.28515625" style="279" customWidth="1"/>
    <col min="4" max="4" width="12.140625" style="279" customWidth="1"/>
    <col min="5" max="5" width="12" style="279" customWidth="1"/>
    <col min="6" max="6" width="13.28515625" style="279" customWidth="1"/>
    <col min="7" max="7" width="11.42578125" style="279" customWidth="1"/>
    <col min="8" max="8" width="11.140625" style="279" customWidth="1"/>
    <col min="9" max="16384" width="9.140625" style="279"/>
  </cols>
  <sheetData>
    <row r="1" spans="1:8">
      <c r="A1" s="1537" t="s">
        <v>887</v>
      </c>
      <c r="B1" s="1537"/>
      <c r="C1" s="1537"/>
      <c r="D1" s="1537"/>
      <c r="E1" s="1537"/>
      <c r="F1" s="1537"/>
      <c r="G1" s="1537"/>
      <c r="H1" s="1537"/>
    </row>
    <row r="2" spans="1:8">
      <c r="A2" s="1504"/>
      <c r="B2" s="1526" t="s">
        <v>809</v>
      </c>
      <c r="C2" s="1526" t="s">
        <v>276</v>
      </c>
      <c r="D2" s="1526" t="s">
        <v>275</v>
      </c>
      <c r="E2" s="1526"/>
      <c r="F2" s="1526"/>
      <c r="G2" s="1526"/>
      <c r="H2" s="1526"/>
    </row>
    <row r="3" spans="1:8">
      <c r="A3" s="1504"/>
      <c r="B3" s="1526"/>
      <c r="C3" s="1526"/>
      <c r="D3" s="676" t="s">
        <v>888</v>
      </c>
      <c r="E3" s="676" t="s">
        <v>889</v>
      </c>
      <c r="F3" s="676" t="s">
        <v>890</v>
      </c>
      <c r="G3" s="676" t="s">
        <v>891</v>
      </c>
      <c r="H3" s="676" t="s">
        <v>892</v>
      </c>
    </row>
    <row r="4" spans="1:8">
      <c r="A4" s="711">
        <v>1</v>
      </c>
      <c r="B4" s="711">
        <v>2000</v>
      </c>
      <c r="C4" s="712">
        <f t="shared" ref="C4:C16" si="0">SUM(D4:H4)</f>
        <v>12290</v>
      </c>
      <c r="D4" s="712">
        <v>133</v>
      </c>
      <c r="E4" s="712">
        <v>4814</v>
      </c>
      <c r="F4" s="712">
        <v>1959</v>
      </c>
      <c r="G4" s="712">
        <v>3784</v>
      </c>
      <c r="H4" s="712">
        <v>1600</v>
      </c>
    </row>
    <row r="5" spans="1:8">
      <c r="A5" s="711">
        <v>2</v>
      </c>
      <c r="B5" s="711">
        <v>2001</v>
      </c>
      <c r="C5" s="712">
        <f t="shared" si="0"/>
        <v>10846</v>
      </c>
      <c r="D5" s="712">
        <v>129</v>
      </c>
      <c r="E5" s="712">
        <v>5135</v>
      </c>
      <c r="F5" s="712">
        <v>1191</v>
      </c>
      <c r="G5" s="712">
        <v>2868</v>
      </c>
      <c r="H5" s="712">
        <v>1523</v>
      </c>
    </row>
    <row r="6" spans="1:8">
      <c r="A6" s="711">
        <v>3</v>
      </c>
      <c r="B6" s="711">
        <v>2002</v>
      </c>
      <c r="C6" s="712">
        <f t="shared" si="0"/>
        <v>11344</v>
      </c>
      <c r="D6" s="712">
        <v>131</v>
      </c>
      <c r="E6" s="712">
        <v>5365</v>
      </c>
      <c r="F6" s="712">
        <v>1248</v>
      </c>
      <c r="G6" s="712">
        <v>2976</v>
      </c>
      <c r="H6" s="712">
        <v>1624</v>
      </c>
    </row>
    <row r="7" spans="1:8">
      <c r="A7" s="711">
        <v>4</v>
      </c>
      <c r="B7" s="711">
        <v>2003</v>
      </c>
      <c r="C7" s="712">
        <f t="shared" si="0"/>
        <v>13133</v>
      </c>
      <c r="D7" s="712">
        <v>165</v>
      </c>
      <c r="E7" s="712">
        <v>5892</v>
      </c>
      <c r="F7" s="712">
        <v>1293</v>
      </c>
      <c r="G7" s="712">
        <v>3821</v>
      </c>
      <c r="H7" s="712">
        <v>1962</v>
      </c>
    </row>
    <row r="8" spans="1:8">
      <c r="A8" s="711">
        <v>5</v>
      </c>
      <c r="B8" s="711">
        <v>2004</v>
      </c>
      <c r="C8" s="712">
        <f t="shared" si="0"/>
        <v>12967</v>
      </c>
      <c r="D8" s="712">
        <v>153</v>
      </c>
      <c r="E8" s="712">
        <v>5861</v>
      </c>
      <c r="F8" s="712">
        <v>1131</v>
      </c>
      <c r="G8" s="712">
        <v>3723</v>
      </c>
      <c r="H8" s="712">
        <v>2099</v>
      </c>
    </row>
    <row r="9" spans="1:8">
      <c r="A9" s="711">
        <v>6</v>
      </c>
      <c r="B9" s="711">
        <v>2005</v>
      </c>
      <c r="C9" s="712">
        <f t="shared" si="0"/>
        <v>13993</v>
      </c>
      <c r="D9" s="712">
        <v>147</v>
      </c>
      <c r="E9" s="712">
        <v>6001</v>
      </c>
      <c r="F9" s="712">
        <v>1289</v>
      </c>
      <c r="G9" s="712">
        <v>4142</v>
      </c>
      <c r="H9" s="712">
        <v>2414</v>
      </c>
    </row>
    <row r="10" spans="1:8">
      <c r="A10" s="711">
        <v>7</v>
      </c>
      <c r="B10" s="711">
        <v>2006</v>
      </c>
      <c r="C10" s="712">
        <f t="shared" si="0"/>
        <v>15414</v>
      </c>
      <c r="D10" s="712">
        <v>122</v>
      </c>
      <c r="E10" s="712">
        <v>6026</v>
      </c>
      <c r="F10" s="712">
        <v>1356</v>
      </c>
      <c r="G10" s="712">
        <v>4787</v>
      </c>
      <c r="H10" s="712">
        <v>3123</v>
      </c>
    </row>
    <row r="11" spans="1:8">
      <c r="A11" s="711">
        <v>8</v>
      </c>
      <c r="B11" s="711">
        <v>2007</v>
      </c>
      <c r="C11" s="712">
        <f t="shared" si="0"/>
        <v>16473</v>
      </c>
      <c r="D11" s="712">
        <v>130</v>
      </c>
      <c r="E11" s="712">
        <v>6129</v>
      </c>
      <c r="F11" s="712">
        <v>1405</v>
      </c>
      <c r="G11" s="712">
        <v>5294</v>
      </c>
      <c r="H11" s="712">
        <v>3515</v>
      </c>
    </row>
    <row r="12" spans="1:8">
      <c r="A12" s="711">
        <v>9</v>
      </c>
      <c r="B12" s="711">
        <v>2008</v>
      </c>
      <c r="C12" s="712">
        <f t="shared" si="0"/>
        <v>17639</v>
      </c>
      <c r="D12" s="712">
        <v>120</v>
      </c>
      <c r="E12" s="712">
        <v>6189</v>
      </c>
      <c r="F12" s="712">
        <v>1588</v>
      </c>
      <c r="G12" s="712">
        <v>5907</v>
      </c>
      <c r="H12" s="712">
        <v>3835</v>
      </c>
    </row>
    <row r="13" spans="1:8">
      <c r="A13" s="711">
        <v>10</v>
      </c>
      <c r="B13" s="711">
        <v>2009</v>
      </c>
      <c r="C13" s="712">
        <f t="shared" si="0"/>
        <v>17646</v>
      </c>
      <c r="D13" s="712">
        <v>131</v>
      </c>
      <c r="E13" s="712">
        <v>6117</v>
      </c>
      <c r="F13" s="712">
        <v>1511</v>
      </c>
      <c r="G13" s="712">
        <v>6312</v>
      </c>
      <c r="H13" s="712">
        <v>3575</v>
      </c>
    </row>
    <row r="14" spans="1:8">
      <c r="A14" s="711">
        <v>11</v>
      </c>
      <c r="B14" s="711">
        <v>2010</v>
      </c>
      <c r="C14" s="712">
        <f t="shared" si="0"/>
        <v>14952</v>
      </c>
      <c r="D14" s="712">
        <v>118</v>
      </c>
      <c r="E14" s="712">
        <v>6073</v>
      </c>
      <c r="F14" s="712">
        <v>1392</v>
      </c>
      <c r="G14" s="712">
        <v>5088</v>
      </c>
      <c r="H14" s="712">
        <v>2281</v>
      </c>
    </row>
    <row r="15" spans="1:8">
      <c r="A15" s="711">
        <v>12</v>
      </c>
      <c r="B15" s="711">
        <v>2011</v>
      </c>
      <c r="C15" s="712">
        <f t="shared" si="0"/>
        <v>16222</v>
      </c>
      <c r="D15" s="712">
        <v>102</v>
      </c>
      <c r="E15" s="712">
        <v>6242</v>
      </c>
      <c r="F15" s="712">
        <v>1406</v>
      </c>
      <c r="G15" s="712">
        <v>5534</v>
      </c>
      <c r="H15" s="712">
        <v>2938</v>
      </c>
    </row>
    <row r="16" spans="1:8">
      <c r="A16" s="711">
        <v>13</v>
      </c>
      <c r="B16" s="711">
        <v>2012</v>
      </c>
      <c r="C16" s="712">
        <f t="shared" si="0"/>
        <v>16289</v>
      </c>
      <c r="D16" s="712">
        <v>86</v>
      </c>
      <c r="E16" s="712">
        <v>6278</v>
      </c>
      <c r="F16" s="712">
        <v>1381</v>
      </c>
      <c r="G16" s="712">
        <v>5601</v>
      </c>
      <c r="H16" s="712">
        <v>2943</v>
      </c>
    </row>
    <row r="17" spans="1:8">
      <c r="A17" s="1527" t="s">
        <v>893</v>
      </c>
      <c r="B17" s="1527"/>
      <c r="C17" s="709">
        <f t="shared" ref="C17:H17" si="1">SUM(C4:C16)/10</f>
        <v>18920.8</v>
      </c>
      <c r="D17" s="709">
        <f t="shared" si="1"/>
        <v>166.7</v>
      </c>
      <c r="E17" s="709">
        <f t="shared" si="1"/>
        <v>7612.2</v>
      </c>
      <c r="F17" s="709">
        <f t="shared" si="1"/>
        <v>1815</v>
      </c>
      <c r="G17" s="709">
        <f t="shared" si="1"/>
        <v>5983.7</v>
      </c>
      <c r="H17" s="709">
        <f t="shared" si="1"/>
        <v>3343.2</v>
      </c>
    </row>
    <row r="18" spans="1:8">
      <c r="A18" s="1527" t="s">
        <v>1218</v>
      </c>
      <c r="B18" s="1527"/>
      <c r="C18" s="710">
        <f t="shared" ref="C18:H18" si="2">SUM(C16/C4)*100</f>
        <v>132.5386493083808</v>
      </c>
      <c r="D18" s="710">
        <f t="shared" si="2"/>
        <v>64.661654135338338</v>
      </c>
      <c r="E18" s="710">
        <f t="shared" si="2"/>
        <v>130.41130037390943</v>
      </c>
      <c r="F18" s="710">
        <f t="shared" si="2"/>
        <v>70.495150587034203</v>
      </c>
      <c r="G18" s="710">
        <f t="shared" si="2"/>
        <v>148.01797040169134</v>
      </c>
      <c r="H18" s="710">
        <f t="shared" si="2"/>
        <v>183.9375</v>
      </c>
    </row>
    <row r="19" spans="1:8">
      <c r="A19" s="688"/>
      <c r="B19" s="688"/>
      <c r="C19" s="688"/>
      <c r="D19" s="688"/>
      <c r="E19" s="688"/>
      <c r="F19" s="688"/>
      <c r="G19" s="688"/>
      <c r="H19" s="688"/>
    </row>
    <row r="20" spans="1:8">
      <c r="A20" s="1504"/>
      <c r="B20" s="1526" t="s">
        <v>809</v>
      </c>
      <c r="C20" s="1526" t="s">
        <v>276</v>
      </c>
      <c r="D20" s="1526" t="s">
        <v>894</v>
      </c>
      <c r="E20" s="1526"/>
      <c r="F20" s="1526"/>
      <c r="G20" s="1526"/>
      <c r="H20" s="1526"/>
    </row>
    <row r="21" spans="1:8">
      <c r="A21" s="1504"/>
      <c r="B21" s="1529"/>
      <c r="C21" s="1529"/>
      <c r="D21" s="685" t="s">
        <v>762</v>
      </c>
      <c r="E21" s="685" t="s">
        <v>763</v>
      </c>
      <c r="F21" s="685" t="s">
        <v>764</v>
      </c>
      <c r="G21" s="685" t="s">
        <v>765</v>
      </c>
      <c r="H21" s="685" t="s">
        <v>766</v>
      </c>
    </row>
    <row r="22" spans="1:8">
      <c r="A22" s="711">
        <v>1</v>
      </c>
      <c r="B22" s="711">
        <v>2000</v>
      </c>
      <c r="C22" s="712">
        <f t="shared" ref="C22:C34" si="3">SUM(D22:H22)</f>
        <v>369676</v>
      </c>
      <c r="D22" s="712">
        <v>1564</v>
      </c>
      <c r="E22" s="712">
        <v>31357</v>
      </c>
      <c r="F22" s="712">
        <v>56142</v>
      </c>
      <c r="G22" s="712">
        <v>217635</v>
      </c>
      <c r="H22" s="712">
        <v>62978</v>
      </c>
    </row>
    <row r="23" spans="1:8">
      <c r="A23" s="711">
        <v>2</v>
      </c>
      <c r="B23" s="711">
        <v>2001</v>
      </c>
      <c r="C23" s="712">
        <f t="shared" si="3"/>
        <v>354103</v>
      </c>
      <c r="D23" s="712">
        <v>1666</v>
      </c>
      <c r="E23" s="712">
        <v>33414</v>
      </c>
      <c r="F23" s="712">
        <v>40280</v>
      </c>
      <c r="G23" s="712">
        <v>207582</v>
      </c>
      <c r="H23" s="712">
        <v>71161</v>
      </c>
    </row>
    <row r="24" spans="1:8">
      <c r="A24" s="711">
        <v>3</v>
      </c>
      <c r="B24" s="711">
        <v>2002</v>
      </c>
      <c r="C24" s="712">
        <f t="shared" si="3"/>
        <v>364429</v>
      </c>
      <c r="D24" s="712">
        <v>1657</v>
      </c>
      <c r="E24" s="712">
        <v>32732</v>
      </c>
      <c r="F24" s="712">
        <v>40519</v>
      </c>
      <c r="G24" s="712">
        <v>205899</v>
      </c>
      <c r="H24" s="712">
        <v>83622</v>
      </c>
    </row>
    <row r="25" spans="1:8">
      <c r="A25" s="711">
        <v>4</v>
      </c>
      <c r="B25" s="711">
        <v>2003</v>
      </c>
      <c r="C25" s="712">
        <f t="shared" si="3"/>
        <v>369679</v>
      </c>
      <c r="D25" s="712">
        <v>1784</v>
      </c>
      <c r="E25" s="712">
        <v>34501</v>
      </c>
      <c r="F25" s="712">
        <v>39489</v>
      </c>
      <c r="G25" s="712">
        <v>198288</v>
      </c>
      <c r="H25" s="712">
        <v>95617</v>
      </c>
    </row>
    <row r="26" spans="1:8">
      <c r="A26" s="711">
        <v>5</v>
      </c>
      <c r="B26" s="711">
        <v>2004</v>
      </c>
      <c r="C26" s="712">
        <f t="shared" si="3"/>
        <v>385302</v>
      </c>
      <c r="D26" s="712">
        <v>1777</v>
      </c>
      <c r="E26" s="712">
        <v>34745</v>
      </c>
      <c r="F26" s="712">
        <v>38022</v>
      </c>
      <c r="G26" s="712">
        <v>204093</v>
      </c>
      <c r="H26" s="712">
        <v>106665</v>
      </c>
    </row>
    <row r="27" spans="1:8">
      <c r="A27" s="711">
        <v>6</v>
      </c>
      <c r="B27" s="711">
        <v>2005</v>
      </c>
      <c r="C27" s="712">
        <f t="shared" si="3"/>
        <v>429235</v>
      </c>
      <c r="D27" s="712">
        <v>1870</v>
      </c>
      <c r="E27" s="712">
        <v>36181</v>
      </c>
      <c r="F27" s="712">
        <v>38914</v>
      </c>
      <c r="G27" s="712">
        <v>226368</v>
      </c>
      <c r="H27" s="712">
        <v>125902</v>
      </c>
    </row>
    <row r="28" spans="1:8">
      <c r="A28" s="711">
        <v>7</v>
      </c>
      <c r="B28" s="711">
        <v>2006</v>
      </c>
      <c r="C28" s="712">
        <f t="shared" si="3"/>
        <v>487778</v>
      </c>
      <c r="D28" s="712">
        <v>1918</v>
      </c>
      <c r="E28" s="712">
        <v>37852</v>
      </c>
      <c r="F28" s="712">
        <v>41758</v>
      </c>
      <c r="G28" s="712">
        <v>253370</v>
      </c>
      <c r="H28" s="712">
        <v>152880</v>
      </c>
    </row>
    <row r="29" spans="1:8">
      <c r="A29" s="711">
        <v>8</v>
      </c>
      <c r="B29" s="711">
        <v>2007</v>
      </c>
      <c r="C29" s="712">
        <f t="shared" si="3"/>
        <v>557337</v>
      </c>
      <c r="D29" s="712">
        <v>1941</v>
      </c>
      <c r="E29" s="712">
        <v>40641</v>
      </c>
      <c r="F29" s="712">
        <v>45209</v>
      </c>
      <c r="G29" s="712">
        <v>286962</v>
      </c>
      <c r="H29" s="712">
        <v>182584</v>
      </c>
    </row>
    <row r="30" spans="1:8">
      <c r="A30" s="711">
        <v>9</v>
      </c>
      <c r="B30" s="711">
        <v>2008</v>
      </c>
      <c r="C30" s="712">
        <f t="shared" si="3"/>
        <v>660562</v>
      </c>
      <c r="D30" s="712">
        <v>2110</v>
      </c>
      <c r="E30" s="712">
        <v>41339</v>
      </c>
      <c r="F30" s="712">
        <v>48203</v>
      </c>
      <c r="G30" s="712">
        <v>332852</v>
      </c>
      <c r="H30" s="712">
        <v>236058</v>
      </c>
    </row>
    <row r="31" spans="1:8">
      <c r="A31" s="711">
        <v>10</v>
      </c>
      <c r="B31" s="711">
        <v>2009</v>
      </c>
      <c r="C31" s="712">
        <f t="shared" si="3"/>
        <v>647754</v>
      </c>
      <c r="D31" s="712">
        <v>2202</v>
      </c>
      <c r="E31" s="712">
        <v>41114</v>
      </c>
      <c r="F31" s="712">
        <v>49937</v>
      </c>
      <c r="G31" s="712">
        <v>337120</v>
      </c>
      <c r="H31" s="712">
        <v>217381</v>
      </c>
    </row>
    <row r="32" spans="1:8">
      <c r="A32" s="711">
        <v>11</v>
      </c>
      <c r="B32" s="711">
        <v>2010</v>
      </c>
      <c r="C32" s="712">
        <f t="shared" si="3"/>
        <v>543606</v>
      </c>
      <c r="D32" s="712">
        <v>2121</v>
      </c>
      <c r="E32" s="712">
        <v>41845</v>
      </c>
      <c r="F32" s="712">
        <v>42625</v>
      </c>
      <c r="G32" s="712">
        <v>290672</v>
      </c>
      <c r="H32" s="712">
        <v>166343</v>
      </c>
    </row>
    <row r="33" spans="1:8">
      <c r="A33" s="711">
        <v>12</v>
      </c>
      <c r="B33" s="711">
        <v>2011</v>
      </c>
      <c r="C33" s="712">
        <f t="shared" si="3"/>
        <v>494117</v>
      </c>
      <c r="D33" s="712">
        <v>1954</v>
      </c>
      <c r="E33" s="712">
        <v>43544</v>
      </c>
      <c r="F33" s="712">
        <v>44037</v>
      </c>
      <c r="G33" s="712">
        <v>254242</v>
      </c>
      <c r="H33" s="712">
        <v>150340</v>
      </c>
    </row>
    <row r="34" spans="1:8">
      <c r="A34" s="711">
        <v>13</v>
      </c>
      <c r="B34" s="711">
        <v>2012</v>
      </c>
      <c r="C34" s="712">
        <f t="shared" si="3"/>
        <v>537132</v>
      </c>
      <c r="D34" s="712">
        <v>1755</v>
      </c>
      <c r="E34" s="712">
        <v>45391</v>
      </c>
      <c r="F34" s="712">
        <v>47463</v>
      </c>
      <c r="G34" s="712">
        <v>279946</v>
      </c>
      <c r="H34" s="712">
        <v>162577</v>
      </c>
    </row>
    <row r="35" spans="1:8">
      <c r="A35" s="1527" t="s">
        <v>893</v>
      </c>
      <c r="B35" s="1527"/>
      <c r="C35" s="709">
        <f t="shared" ref="C35:H35" si="4">SUM(C22:C34)/10</f>
        <v>620071</v>
      </c>
      <c r="D35" s="709">
        <f t="shared" si="4"/>
        <v>2431.9</v>
      </c>
      <c r="E35" s="709">
        <f t="shared" si="4"/>
        <v>49465.599999999999</v>
      </c>
      <c r="F35" s="709">
        <f t="shared" si="4"/>
        <v>57259.8</v>
      </c>
      <c r="G35" s="709">
        <f t="shared" si="4"/>
        <v>329502.90000000002</v>
      </c>
      <c r="H35" s="709">
        <f t="shared" si="4"/>
        <v>181410.8</v>
      </c>
    </row>
    <row r="36" spans="1:8">
      <c r="A36" s="1527" t="s">
        <v>1218</v>
      </c>
      <c r="B36" s="1527"/>
      <c r="C36" s="710">
        <f t="shared" ref="C36:H36" si="5">SUM(C34/C22)*100</f>
        <v>145.29804477434294</v>
      </c>
      <c r="D36" s="710">
        <f t="shared" si="5"/>
        <v>112.21227621483376</v>
      </c>
      <c r="E36" s="710">
        <f t="shared" si="5"/>
        <v>144.75555697292469</v>
      </c>
      <c r="F36" s="710">
        <f t="shared" si="5"/>
        <v>84.540985358555091</v>
      </c>
      <c r="G36" s="710">
        <f t="shared" si="5"/>
        <v>128.6309646885841</v>
      </c>
      <c r="H36" s="710">
        <f t="shared" si="5"/>
        <v>258.14887738575374</v>
      </c>
    </row>
    <row r="37" spans="1:8">
      <c r="A37" s="688"/>
      <c r="B37" s="688"/>
      <c r="C37" s="688"/>
      <c r="D37" s="688"/>
      <c r="E37" s="688"/>
      <c r="F37" s="688"/>
      <c r="G37" s="688"/>
      <c r="H37" s="688"/>
    </row>
    <row r="38" spans="1:8">
      <c r="A38" s="1644"/>
      <c r="B38" s="1645"/>
      <c r="C38" s="1646"/>
      <c r="D38" s="1526" t="s">
        <v>895</v>
      </c>
      <c r="E38" s="1526"/>
      <c r="F38" s="1526"/>
      <c r="G38" s="1526"/>
      <c r="H38" s="1526"/>
    </row>
    <row r="39" spans="1:8">
      <c r="A39" s="1647"/>
      <c r="B39" s="1503"/>
      <c r="C39" s="1648"/>
      <c r="D39" s="685" t="s">
        <v>762</v>
      </c>
      <c r="E39" s="685" t="s">
        <v>763</v>
      </c>
      <c r="F39" s="685" t="s">
        <v>764</v>
      </c>
      <c r="G39" s="685" t="s">
        <v>765</v>
      </c>
      <c r="H39" s="685" t="s">
        <v>766</v>
      </c>
    </row>
    <row r="40" spans="1:8" ht="12.75" customHeight="1">
      <c r="A40" s="1649" t="s">
        <v>896</v>
      </c>
      <c r="B40" s="1650"/>
      <c r="C40" s="1651"/>
      <c r="D40" s="713" t="s">
        <v>897</v>
      </c>
      <c r="E40" s="714" t="s">
        <v>898</v>
      </c>
      <c r="F40" s="715" t="s">
        <v>899</v>
      </c>
      <c r="G40" s="715" t="s">
        <v>900</v>
      </c>
      <c r="H40" s="715" t="s">
        <v>900</v>
      </c>
    </row>
    <row r="41" spans="1:8" ht="12.75" customHeight="1">
      <c r="A41" s="1652" t="s">
        <v>175</v>
      </c>
      <c r="B41" s="1653"/>
      <c r="C41" s="1653"/>
      <c r="D41" s="1653"/>
      <c r="E41" s="1653"/>
      <c r="F41" s="1653"/>
      <c r="G41" s="1653"/>
      <c r="H41" s="1654"/>
    </row>
    <row r="42" spans="1:8">
      <c r="A42" s="717">
        <v>1</v>
      </c>
      <c r="B42" s="1652">
        <v>2000</v>
      </c>
      <c r="C42" s="1654"/>
      <c r="D42" s="718">
        <f t="shared" ref="D42:H54" si="6">SUM(D22/D4)</f>
        <v>11.759398496240602</v>
      </c>
      <c r="E42" s="718">
        <f t="shared" si="6"/>
        <v>6.5137100124636476</v>
      </c>
      <c r="F42" s="718">
        <f t="shared" si="6"/>
        <v>28.658499234303218</v>
      </c>
      <c r="G42" s="718">
        <f t="shared" si="6"/>
        <v>57.514534883720927</v>
      </c>
      <c r="H42" s="718">
        <f t="shared" si="6"/>
        <v>39.361249999999998</v>
      </c>
    </row>
    <row r="43" spans="1:8">
      <c r="A43" s="711">
        <v>2</v>
      </c>
      <c r="B43" s="1652">
        <v>2001</v>
      </c>
      <c r="C43" s="1654"/>
      <c r="D43" s="718">
        <f t="shared" si="6"/>
        <v>12.914728682170542</v>
      </c>
      <c r="E43" s="718">
        <f t="shared" si="6"/>
        <v>6.5071080817916265</v>
      </c>
      <c r="F43" s="718">
        <f t="shared" si="6"/>
        <v>33.820319059613773</v>
      </c>
      <c r="G43" s="718">
        <f t="shared" si="6"/>
        <v>72.378661087866107</v>
      </c>
      <c r="H43" s="718">
        <f t="shared" si="6"/>
        <v>46.724228496388704</v>
      </c>
    </row>
    <row r="44" spans="1:8">
      <c r="A44" s="711">
        <v>3</v>
      </c>
      <c r="B44" s="1652">
        <v>2002</v>
      </c>
      <c r="C44" s="1654"/>
      <c r="D44" s="718">
        <f t="shared" si="6"/>
        <v>12.648854961832061</v>
      </c>
      <c r="E44" s="718">
        <f t="shared" si="6"/>
        <v>6.1010251630941283</v>
      </c>
      <c r="F44" s="718">
        <f t="shared" si="6"/>
        <v>32.467147435897438</v>
      </c>
      <c r="G44" s="718">
        <f t="shared" si="6"/>
        <v>69.186491935483872</v>
      </c>
      <c r="H44" s="718">
        <f t="shared" si="6"/>
        <v>51.491379310344826</v>
      </c>
    </row>
    <row r="45" spans="1:8">
      <c r="A45" s="711">
        <v>4</v>
      </c>
      <c r="B45" s="1652">
        <v>2003</v>
      </c>
      <c r="C45" s="1654"/>
      <c r="D45" s="718">
        <f t="shared" si="6"/>
        <v>10.812121212121212</v>
      </c>
      <c r="E45" s="718">
        <f t="shared" si="6"/>
        <v>5.8555668703326544</v>
      </c>
      <c r="F45" s="718">
        <f t="shared" si="6"/>
        <v>30.54060324825986</v>
      </c>
      <c r="G45" s="718">
        <f t="shared" si="6"/>
        <v>51.894268516095266</v>
      </c>
      <c r="H45" s="718">
        <f t="shared" si="6"/>
        <v>48.734454638124362</v>
      </c>
    </row>
    <row r="46" spans="1:8">
      <c r="A46" s="711">
        <v>5</v>
      </c>
      <c r="B46" s="1652">
        <v>2004</v>
      </c>
      <c r="C46" s="1654"/>
      <c r="D46" s="718">
        <f t="shared" si="6"/>
        <v>11.61437908496732</v>
      </c>
      <c r="E46" s="718">
        <f t="shared" si="6"/>
        <v>5.9281692543934481</v>
      </c>
      <c r="F46" s="718">
        <f t="shared" si="6"/>
        <v>33.618037135278513</v>
      </c>
      <c r="G46" s="718">
        <f t="shared" si="6"/>
        <v>54.819500402900886</v>
      </c>
      <c r="H46" s="718">
        <f t="shared" si="6"/>
        <v>50.81705574082897</v>
      </c>
    </row>
    <row r="47" spans="1:8">
      <c r="A47" s="711">
        <v>6</v>
      </c>
      <c r="B47" s="1652">
        <v>2005</v>
      </c>
      <c r="C47" s="1654"/>
      <c r="D47" s="718">
        <f t="shared" si="6"/>
        <v>12.721088435374149</v>
      </c>
      <c r="E47" s="718">
        <f t="shared" si="6"/>
        <v>6.0291618063656056</v>
      </c>
      <c r="F47" s="718">
        <f t="shared" si="6"/>
        <v>30.189294026377038</v>
      </c>
      <c r="G47" s="718">
        <f t="shared" si="6"/>
        <v>54.651859005311444</v>
      </c>
      <c r="H47" s="718">
        <f t="shared" si="6"/>
        <v>52.154929577464792</v>
      </c>
    </row>
    <row r="48" spans="1:8">
      <c r="A48" s="711">
        <v>7</v>
      </c>
      <c r="B48" s="1652">
        <v>2006</v>
      </c>
      <c r="C48" s="1654"/>
      <c r="D48" s="718">
        <f t="shared" si="6"/>
        <v>15.721311475409836</v>
      </c>
      <c r="E48" s="718">
        <f t="shared" si="6"/>
        <v>6.2814470627281782</v>
      </c>
      <c r="F48" s="718">
        <f t="shared" si="6"/>
        <v>30.794985250737462</v>
      </c>
      <c r="G48" s="718">
        <f t="shared" si="6"/>
        <v>52.928765406308756</v>
      </c>
      <c r="H48" s="718">
        <f t="shared" si="6"/>
        <v>48.952929875120077</v>
      </c>
    </row>
    <row r="49" spans="1:8">
      <c r="A49" s="711">
        <v>8</v>
      </c>
      <c r="B49" s="1653">
        <v>2007</v>
      </c>
      <c r="C49" s="1654"/>
      <c r="D49" s="718">
        <f t="shared" si="6"/>
        <v>14.930769230769231</v>
      </c>
      <c r="E49" s="718">
        <f t="shared" si="6"/>
        <v>6.6309348996573663</v>
      </c>
      <c r="F49" s="718">
        <f t="shared" si="6"/>
        <v>32.177224199288254</v>
      </c>
      <c r="G49" s="718">
        <f t="shared" si="6"/>
        <v>54.205137891953157</v>
      </c>
      <c r="H49" s="718">
        <f t="shared" si="6"/>
        <v>51.944238975817925</v>
      </c>
    </row>
    <row r="50" spans="1:8">
      <c r="A50" s="711">
        <v>9</v>
      </c>
      <c r="B50" s="1653">
        <v>2008</v>
      </c>
      <c r="C50" s="1654"/>
      <c r="D50" s="718">
        <f t="shared" si="6"/>
        <v>17.583333333333332</v>
      </c>
      <c r="E50" s="718">
        <f t="shared" si="6"/>
        <v>6.6794312489901442</v>
      </c>
      <c r="F50" s="718">
        <f t="shared" si="6"/>
        <v>30.354534005037785</v>
      </c>
      <c r="G50" s="718">
        <f t="shared" si="6"/>
        <v>56.348738784492973</v>
      </c>
      <c r="H50" s="718">
        <f t="shared" si="6"/>
        <v>61.553585397653194</v>
      </c>
    </row>
    <row r="51" spans="1:8">
      <c r="A51" s="711">
        <v>10</v>
      </c>
      <c r="B51" s="1652">
        <v>2009</v>
      </c>
      <c r="C51" s="1654"/>
      <c r="D51" s="718">
        <f t="shared" si="6"/>
        <v>16.809160305343511</v>
      </c>
      <c r="E51" s="718">
        <f t="shared" si="6"/>
        <v>6.7212685957168548</v>
      </c>
      <c r="F51" s="718">
        <f t="shared" si="6"/>
        <v>33.048974189278624</v>
      </c>
      <c r="G51" s="718">
        <f t="shared" si="6"/>
        <v>53.409378960709759</v>
      </c>
      <c r="H51" s="718">
        <f t="shared" si="6"/>
        <v>60.805874125874126</v>
      </c>
    </row>
    <row r="52" spans="1:8">
      <c r="A52" s="711">
        <v>11</v>
      </c>
      <c r="B52" s="1652">
        <v>2010</v>
      </c>
      <c r="C52" s="1654"/>
      <c r="D52" s="718">
        <f t="shared" si="6"/>
        <v>17.974576271186439</v>
      </c>
      <c r="E52" s="718">
        <f t="shared" si="6"/>
        <v>6.8903342664251603</v>
      </c>
      <c r="F52" s="718">
        <f t="shared" si="6"/>
        <v>30.621408045977013</v>
      </c>
      <c r="G52" s="718">
        <f t="shared" si="6"/>
        <v>57.128930817610062</v>
      </c>
      <c r="H52" s="718">
        <f t="shared" si="6"/>
        <v>72.925471284524335</v>
      </c>
    </row>
    <row r="53" spans="1:8">
      <c r="A53" s="711">
        <v>12</v>
      </c>
      <c r="B53" s="1652">
        <v>2011</v>
      </c>
      <c r="C53" s="1654"/>
      <c r="D53" s="718">
        <f t="shared" si="6"/>
        <v>19.156862745098039</v>
      </c>
      <c r="E53" s="718">
        <f t="shared" si="6"/>
        <v>6.9759692406280038</v>
      </c>
      <c r="F53" s="718">
        <f t="shared" si="6"/>
        <v>31.320768136557611</v>
      </c>
      <c r="G53" s="718">
        <f t="shared" si="6"/>
        <v>45.941814239248281</v>
      </c>
      <c r="H53" s="718">
        <f t="shared" si="6"/>
        <v>51.170864533696395</v>
      </c>
    </row>
    <row r="54" spans="1:8">
      <c r="A54" s="716">
        <v>13</v>
      </c>
      <c r="B54" s="1653">
        <v>2012</v>
      </c>
      <c r="C54" s="1654"/>
      <c r="D54" s="718">
        <f t="shared" si="6"/>
        <v>20.406976744186046</v>
      </c>
      <c r="E54" s="718">
        <f t="shared" si="6"/>
        <v>7.2301688435807581</v>
      </c>
      <c r="F54" s="718">
        <f t="shared" si="6"/>
        <v>34.368573497465604</v>
      </c>
      <c r="G54" s="718">
        <f t="shared" si="6"/>
        <v>49.981431887163005</v>
      </c>
      <c r="H54" s="718">
        <f t="shared" si="6"/>
        <v>55.24193000339789</v>
      </c>
    </row>
    <row r="55" spans="1:8">
      <c r="A55" s="1528" t="s">
        <v>893</v>
      </c>
      <c r="B55" s="1655"/>
      <c r="C55" s="1656"/>
      <c r="D55" s="709">
        <f>SUM(D42:D54)/10</f>
        <v>19.505356097803229</v>
      </c>
      <c r="E55" s="709">
        <f>SUM(E42:E54)/10</f>
        <v>8.4344295346167577</v>
      </c>
      <c r="F55" s="709">
        <f>SUM(F42:F54)/10</f>
        <v>41.198036746407219</v>
      </c>
      <c r="G55" s="709">
        <f>SUM(G42:G54)/10</f>
        <v>73.038951381886449</v>
      </c>
      <c r="H55" s="709">
        <f>SUM(H42:H54)/10</f>
        <v>69.187819195923566</v>
      </c>
    </row>
    <row r="56" spans="1:8">
      <c r="A56" s="1528" t="s">
        <v>1218</v>
      </c>
      <c r="B56" s="1655"/>
      <c r="C56" s="1656"/>
      <c r="D56" s="710">
        <f>SUM(D54/D42)*100</f>
        <v>173.53758996014989</v>
      </c>
      <c r="E56" s="710">
        <f>SUM(E54/E42)*100</f>
        <v>110.99924359153546</v>
      </c>
      <c r="F56" s="710">
        <f>SUM(F54/F42)*100</f>
        <v>119.92454041810964</v>
      </c>
      <c r="G56" s="710">
        <f>SUM(G54/G42)*100</f>
        <v>86.902262164185359</v>
      </c>
      <c r="H56" s="710">
        <f>SUM(H54/H42)*100</f>
        <v>140.34597479347809</v>
      </c>
    </row>
    <row r="58" spans="1:8">
      <c r="A58" s="1501">
        <v>46</v>
      </c>
      <c r="B58" s="1501"/>
      <c r="C58" s="1501"/>
      <c r="D58" s="1501"/>
      <c r="E58" s="1501"/>
      <c r="F58" s="1501"/>
      <c r="G58" s="1501"/>
      <c r="H58" s="1501"/>
    </row>
  </sheetData>
  <mergeCells count="33">
    <mergeCell ref="A58:H58"/>
    <mergeCell ref="B49:C49"/>
    <mergeCell ref="B50:C50"/>
    <mergeCell ref="B51:C51"/>
    <mergeCell ref="B52:C52"/>
    <mergeCell ref="B53:C53"/>
    <mergeCell ref="A55:C55"/>
    <mergeCell ref="B54:C54"/>
    <mergeCell ref="B45:C45"/>
    <mergeCell ref="B46:C46"/>
    <mergeCell ref="B47:C47"/>
    <mergeCell ref="B48:C48"/>
    <mergeCell ref="A56:C56"/>
    <mergeCell ref="A40:C40"/>
    <mergeCell ref="A41:H41"/>
    <mergeCell ref="B42:C42"/>
    <mergeCell ref="B43:C43"/>
    <mergeCell ref="B44:C44"/>
    <mergeCell ref="D20:H20"/>
    <mergeCell ref="A35:B35"/>
    <mergeCell ref="A36:B36"/>
    <mergeCell ref="A38:C39"/>
    <mergeCell ref="D38:H38"/>
    <mergeCell ref="A17:B17"/>
    <mergeCell ref="A18:B18"/>
    <mergeCell ref="A20:A21"/>
    <mergeCell ref="B20:B21"/>
    <mergeCell ref="C20:C21"/>
    <mergeCell ref="A1:H1"/>
    <mergeCell ref="A2:A3"/>
    <mergeCell ref="B2:B3"/>
    <mergeCell ref="C2:C3"/>
    <mergeCell ref="D2:H2"/>
  </mergeCells>
  <pageMargins left="0.7" right="0.45" top="0.56999999999999995" bottom="0.39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1:G118"/>
  <sheetViews>
    <sheetView zoomScaleSheetLayoutView="100" workbookViewId="0">
      <selection activeCell="D11" sqref="D11"/>
    </sheetView>
  </sheetViews>
  <sheetFormatPr defaultRowHeight="15" customHeight="1"/>
  <cols>
    <col min="1" max="1" width="31.28515625" style="311" customWidth="1"/>
    <col min="2" max="2" width="10.85546875" style="311" customWidth="1"/>
    <col min="3" max="3" width="10.5703125" style="355" customWidth="1"/>
    <col min="4" max="4" width="11.140625" style="355" customWidth="1"/>
    <col min="5" max="5" width="8.42578125" style="355" customWidth="1"/>
    <col min="6" max="6" width="12" style="355" customWidth="1"/>
    <col min="7" max="16384" width="9.140625" style="311"/>
  </cols>
  <sheetData>
    <row r="1" spans="1:7" ht="23.25" customHeight="1">
      <c r="A1" s="1399" t="s">
        <v>417</v>
      </c>
      <c r="B1" s="1399"/>
      <c r="C1" s="1399"/>
      <c r="D1" s="1399"/>
      <c r="E1" s="1399"/>
      <c r="F1" s="1399"/>
    </row>
    <row r="2" spans="1:7" ht="11.25" customHeight="1">
      <c r="A2" s="310"/>
      <c r="B2" s="310"/>
      <c r="C2" s="312"/>
      <c r="D2" s="312"/>
      <c r="E2" s="312"/>
      <c r="F2" s="312"/>
    </row>
    <row r="3" spans="1:7" ht="20.25" customHeight="1">
      <c r="A3" s="313" t="s">
        <v>686</v>
      </c>
      <c r="B3" s="314"/>
      <c r="C3" s="312"/>
      <c r="D3" s="312"/>
      <c r="E3" s="315"/>
      <c r="F3" s="315"/>
    </row>
    <row r="4" spans="1:7" ht="18.75" customHeight="1">
      <c r="A4" s="1393" t="s">
        <v>408</v>
      </c>
      <c r="B4" s="1393" t="s">
        <v>415</v>
      </c>
      <c r="C4" s="1400" t="s">
        <v>175</v>
      </c>
      <c r="D4" s="1401"/>
      <c r="E4" s="1400" t="s">
        <v>267</v>
      </c>
      <c r="F4" s="1401"/>
    </row>
    <row r="5" spans="1:7" ht="31.5" customHeight="1">
      <c r="A5" s="1394"/>
      <c r="B5" s="1394"/>
      <c r="C5" s="316">
        <v>2011</v>
      </c>
      <c r="D5" s="316">
        <v>2012</v>
      </c>
      <c r="E5" s="317" t="s">
        <v>362</v>
      </c>
      <c r="F5" s="318" t="s">
        <v>416</v>
      </c>
      <c r="G5" s="319"/>
    </row>
    <row r="6" spans="1:7" ht="15" customHeight="1">
      <c r="A6" s="320" t="s">
        <v>277</v>
      </c>
      <c r="B6" s="320">
        <v>1</v>
      </c>
      <c r="C6" s="320">
        <v>2</v>
      </c>
      <c r="D6" s="320">
        <v>3</v>
      </c>
      <c r="E6" s="320">
        <v>4</v>
      </c>
      <c r="F6" s="320">
        <v>6</v>
      </c>
      <c r="G6" s="319"/>
    </row>
    <row r="7" spans="1:7" ht="21" customHeight="1">
      <c r="A7" s="321" t="s">
        <v>420</v>
      </c>
      <c r="B7" s="322" t="s">
        <v>421</v>
      </c>
      <c r="C7" s="323">
        <v>21921</v>
      </c>
      <c r="D7" s="323">
        <v>21890</v>
      </c>
      <c r="E7" s="324">
        <f>(D7/C7)*100</f>
        <v>99.858583093836955</v>
      </c>
      <c r="F7" s="325">
        <f>D7-C7</f>
        <v>-31</v>
      </c>
      <c r="G7" s="319"/>
    </row>
    <row r="8" spans="1:7" ht="21" customHeight="1">
      <c r="A8" s="321" t="s">
        <v>419</v>
      </c>
      <c r="B8" s="322" t="s">
        <v>311</v>
      </c>
      <c r="C8" s="327">
        <v>75</v>
      </c>
      <c r="D8" s="327">
        <v>74.7</v>
      </c>
      <c r="E8" s="324">
        <f t="shared" ref="E8:E34" si="0">(D8/C8)*100</f>
        <v>99.6</v>
      </c>
      <c r="F8" s="325">
        <f t="shared" ref="F8:F34" si="1">D8-C8</f>
        <v>-0.29999999999999716</v>
      </c>
      <c r="G8" s="328"/>
    </row>
    <row r="9" spans="1:7" ht="21" customHeight="1">
      <c r="A9" s="321" t="s">
        <v>485</v>
      </c>
      <c r="B9" s="322" t="s">
        <v>311</v>
      </c>
      <c r="C9" s="327">
        <v>44.9</v>
      </c>
      <c r="D9" s="327">
        <v>44.7</v>
      </c>
      <c r="E9" s="324">
        <f>(D9/C9)*100</f>
        <v>99.554565701559028</v>
      </c>
      <c r="F9" s="325">
        <f>D9-C9</f>
        <v>-0.19999999999999574</v>
      </c>
      <c r="G9" s="328"/>
    </row>
    <row r="10" spans="1:7" ht="21" customHeight="1">
      <c r="A10" s="321" t="s">
        <v>418</v>
      </c>
      <c r="B10" s="322" t="s">
        <v>174</v>
      </c>
      <c r="C10" s="323">
        <v>1993</v>
      </c>
      <c r="D10" s="323">
        <v>1923</v>
      </c>
      <c r="E10" s="324">
        <f t="shared" si="0"/>
        <v>96.487706974410443</v>
      </c>
      <c r="F10" s="329">
        <f t="shared" si="1"/>
        <v>-70</v>
      </c>
      <c r="G10" s="328"/>
    </row>
    <row r="11" spans="1:7" ht="21" customHeight="1">
      <c r="A11" s="330" t="s">
        <v>412</v>
      </c>
      <c r="B11" s="322" t="s">
        <v>174</v>
      </c>
      <c r="C11" s="323">
        <v>492</v>
      </c>
      <c r="D11" s="323">
        <v>499</v>
      </c>
      <c r="E11" s="324">
        <f t="shared" si="0"/>
        <v>101.42276422764228</v>
      </c>
      <c r="F11" s="329">
        <f t="shared" si="1"/>
        <v>7</v>
      </c>
      <c r="G11" s="328"/>
    </row>
    <row r="12" spans="1:7" ht="25.5" customHeight="1">
      <c r="A12" s="331" t="s">
        <v>22</v>
      </c>
      <c r="B12" s="322" t="s">
        <v>174</v>
      </c>
      <c r="C12" s="323">
        <v>40</v>
      </c>
      <c r="D12" s="323">
        <v>28</v>
      </c>
      <c r="E12" s="324">
        <f t="shared" si="0"/>
        <v>70</v>
      </c>
      <c r="F12" s="329">
        <f t="shared" si="1"/>
        <v>-12</v>
      </c>
      <c r="G12" s="328"/>
    </row>
    <row r="13" spans="1:7" ht="21" customHeight="1">
      <c r="A13" s="330" t="s">
        <v>424</v>
      </c>
      <c r="B13" s="322" t="s">
        <v>274</v>
      </c>
      <c r="C13" s="323">
        <v>2326</v>
      </c>
      <c r="D13" s="323">
        <v>2234</v>
      </c>
      <c r="E13" s="324">
        <f t="shared" si="0"/>
        <v>96.044711951848669</v>
      </c>
      <c r="F13" s="329">
        <f t="shared" si="1"/>
        <v>-92</v>
      </c>
      <c r="G13" s="328"/>
    </row>
    <row r="14" spans="1:7" ht="21" customHeight="1">
      <c r="A14" s="330" t="s">
        <v>422</v>
      </c>
      <c r="B14" s="322" t="s">
        <v>306</v>
      </c>
      <c r="C14" s="327">
        <v>9353330.4000000004</v>
      </c>
      <c r="D14" s="327">
        <v>9159476.0999999996</v>
      </c>
      <c r="E14" s="324">
        <f t="shared" si="0"/>
        <v>97.92743021245137</v>
      </c>
      <c r="F14" s="325">
        <f t="shared" si="1"/>
        <v>-193854.30000000075</v>
      </c>
      <c r="G14" s="328"/>
    </row>
    <row r="15" spans="1:7" ht="21" customHeight="1">
      <c r="A15" s="330" t="s">
        <v>423</v>
      </c>
      <c r="B15" s="322" t="s">
        <v>306</v>
      </c>
      <c r="C15" s="327">
        <v>6377423.0999999996</v>
      </c>
      <c r="D15" s="327">
        <v>10078572.4</v>
      </c>
      <c r="E15" s="324">
        <f t="shared" si="0"/>
        <v>158.03518508909974</v>
      </c>
      <c r="F15" s="325">
        <f t="shared" si="1"/>
        <v>3701149.3000000007</v>
      </c>
      <c r="G15" s="328"/>
    </row>
    <row r="16" spans="1:7" ht="21" customHeight="1">
      <c r="A16" s="331" t="s">
        <v>425</v>
      </c>
      <c r="B16" s="322" t="s">
        <v>274</v>
      </c>
      <c r="C16" s="323">
        <v>14079</v>
      </c>
      <c r="D16" s="323">
        <v>13588</v>
      </c>
      <c r="E16" s="324">
        <f t="shared" si="0"/>
        <v>96.512536401733072</v>
      </c>
      <c r="F16" s="329">
        <f t="shared" si="1"/>
        <v>-491</v>
      </c>
      <c r="G16" s="328"/>
    </row>
    <row r="17" spans="1:7" ht="21" customHeight="1">
      <c r="A17" s="331" t="s">
        <v>426</v>
      </c>
      <c r="B17" s="322" t="s">
        <v>274</v>
      </c>
      <c r="C17" s="323">
        <v>506</v>
      </c>
      <c r="D17" s="323">
        <v>506</v>
      </c>
      <c r="E17" s="324">
        <f t="shared" si="0"/>
        <v>100</v>
      </c>
      <c r="F17" s="329">
        <f t="shared" si="1"/>
        <v>0</v>
      </c>
      <c r="G17" s="328"/>
    </row>
    <row r="18" spans="1:7" ht="21" customHeight="1">
      <c r="A18" s="331" t="s">
        <v>428</v>
      </c>
      <c r="B18" s="322" t="s">
        <v>274</v>
      </c>
      <c r="C18" s="323">
        <v>781</v>
      </c>
      <c r="D18" s="323">
        <v>781</v>
      </c>
      <c r="E18" s="324">
        <f>(D18/C18)*100</f>
        <v>100</v>
      </c>
      <c r="F18" s="329">
        <f>D18-C18</f>
        <v>0</v>
      </c>
      <c r="G18" s="328"/>
    </row>
    <row r="19" spans="1:7" ht="21" customHeight="1">
      <c r="A19" s="331" t="s">
        <v>407</v>
      </c>
      <c r="B19" s="322" t="s">
        <v>274</v>
      </c>
      <c r="C19" s="323">
        <v>24</v>
      </c>
      <c r="D19" s="323">
        <v>24</v>
      </c>
      <c r="E19" s="324">
        <f>(D19/C19)*100</f>
        <v>100</v>
      </c>
      <c r="F19" s="329">
        <f>D19-C19</f>
        <v>0</v>
      </c>
      <c r="G19" s="328"/>
    </row>
    <row r="20" spans="1:7" ht="21" customHeight="1">
      <c r="A20" s="331" t="s">
        <v>427</v>
      </c>
      <c r="B20" s="322" t="s">
        <v>274</v>
      </c>
      <c r="C20" s="323">
        <v>3383</v>
      </c>
      <c r="D20" s="323">
        <v>3883</v>
      </c>
      <c r="E20" s="324">
        <f t="shared" si="0"/>
        <v>114.77978125923735</v>
      </c>
      <c r="F20" s="329">
        <f t="shared" si="1"/>
        <v>500</v>
      </c>
      <c r="G20" s="328"/>
    </row>
    <row r="21" spans="1:7" ht="21" customHeight="1">
      <c r="A21" s="331" t="s">
        <v>486</v>
      </c>
      <c r="B21" s="322" t="s">
        <v>274</v>
      </c>
      <c r="C21" s="323">
        <v>279</v>
      </c>
      <c r="D21" s="323">
        <v>279</v>
      </c>
      <c r="E21" s="324">
        <f t="shared" si="0"/>
        <v>100</v>
      </c>
      <c r="F21" s="329">
        <f t="shared" si="1"/>
        <v>0</v>
      </c>
      <c r="G21" s="328"/>
    </row>
    <row r="22" spans="1:7" ht="21" customHeight="1">
      <c r="A22" s="331" t="s">
        <v>484</v>
      </c>
      <c r="B22" s="322" t="s">
        <v>274</v>
      </c>
      <c r="C22" s="323">
        <v>25</v>
      </c>
      <c r="D22" s="323">
        <v>27</v>
      </c>
      <c r="E22" s="324">
        <f t="shared" si="0"/>
        <v>108</v>
      </c>
      <c r="F22" s="329">
        <f t="shared" si="1"/>
        <v>2</v>
      </c>
      <c r="G22" s="328"/>
    </row>
    <row r="23" spans="1:7" ht="21" customHeight="1">
      <c r="A23" s="330" t="s">
        <v>429</v>
      </c>
      <c r="B23" s="322" t="s">
        <v>304</v>
      </c>
      <c r="C23" s="323">
        <v>15790.2</v>
      </c>
      <c r="D23" s="323">
        <v>21113.7</v>
      </c>
      <c r="E23" s="324">
        <f t="shared" si="0"/>
        <v>133.71394915833872</v>
      </c>
      <c r="F23" s="325">
        <f t="shared" si="1"/>
        <v>5323.5</v>
      </c>
      <c r="G23" s="328"/>
    </row>
    <row r="24" spans="1:7" ht="21" customHeight="1">
      <c r="A24" s="330" t="s">
        <v>430</v>
      </c>
      <c r="B24" s="322" t="s">
        <v>304</v>
      </c>
      <c r="C24" s="327">
        <v>15180.4</v>
      </c>
      <c r="D24" s="327">
        <v>19188.900000000001</v>
      </c>
      <c r="E24" s="324">
        <f t="shared" si="0"/>
        <v>126.40576005902349</v>
      </c>
      <c r="F24" s="325">
        <f t="shared" si="1"/>
        <v>4008.5000000000018</v>
      </c>
      <c r="G24" s="328"/>
    </row>
    <row r="25" spans="1:7" ht="21" customHeight="1">
      <c r="A25" s="330" t="s">
        <v>431</v>
      </c>
      <c r="B25" s="322" t="s">
        <v>274</v>
      </c>
      <c r="C25" s="323">
        <v>6307</v>
      </c>
      <c r="D25" s="323">
        <v>5819</v>
      </c>
      <c r="E25" s="324">
        <f t="shared" si="0"/>
        <v>92.262565403519901</v>
      </c>
      <c r="F25" s="329">
        <f t="shared" si="1"/>
        <v>-488</v>
      </c>
      <c r="G25" s="328"/>
    </row>
    <row r="26" spans="1:7" ht="21" customHeight="1">
      <c r="A26" s="330" t="s">
        <v>432</v>
      </c>
      <c r="B26" s="322" t="s">
        <v>274</v>
      </c>
      <c r="C26" s="323">
        <v>4075</v>
      </c>
      <c r="D26" s="323">
        <v>3744</v>
      </c>
      <c r="E26" s="324">
        <f t="shared" si="0"/>
        <v>91.877300613496942</v>
      </c>
      <c r="F26" s="329">
        <f t="shared" si="1"/>
        <v>-331</v>
      </c>
      <c r="G26" s="328"/>
    </row>
    <row r="27" spans="1:7" ht="21" customHeight="1">
      <c r="A27" s="330" t="s">
        <v>433</v>
      </c>
      <c r="B27" s="322" t="s">
        <v>274</v>
      </c>
      <c r="C27" s="323">
        <v>563</v>
      </c>
      <c r="D27" s="323">
        <v>625</v>
      </c>
      <c r="E27" s="324">
        <f t="shared" si="0"/>
        <v>111.01243339253996</v>
      </c>
      <c r="F27" s="329">
        <f t="shared" si="1"/>
        <v>62</v>
      </c>
      <c r="G27" s="328"/>
    </row>
    <row r="28" spans="1:7" ht="21" customHeight="1">
      <c r="A28" s="330" t="s">
        <v>434</v>
      </c>
      <c r="B28" s="322" t="s">
        <v>274</v>
      </c>
      <c r="C28" s="323">
        <v>126</v>
      </c>
      <c r="D28" s="323">
        <v>139</v>
      </c>
      <c r="E28" s="324">
        <f t="shared" si="0"/>
        <v>110.31746031746033</v>
      </c>
      <c r="F28" s="329">
        <f t="shared" si="1"/>
        <v>13</v>
      </c>
      <c r="G28" s="328"/>
    </row>
    <row r="29" spans="1:7" ht="21" customHeight="1">
      <c r="A29" s="330" t="s">
        <v>435</v>
      </c>
      <c r="B29" s="322" t="s">
        <v>444</v>
      </c>
      <c r="C29" s="323">
        <v>1149762</v>
      </c>
      <c r="D29" s="323">
        <v>1207253</v>
      </c>
      <c r="E29" s="324">
        <f t="shared" si="0"/>
        <v>105.00025222611289</v>
      </c>
      <c r="F29" s="329">
        <f t="shared" si="1"/>
        <v>57491</v>
      </c>
      <c r="G29" s="328"/>
    </row>
    <row r="30" spans="1:7" ht="21" customHeight="1">
      <c r="A30" s="330" t="s">
        <v>436</v>
      </c>
      <c r="B30" s="322" t="s">
        <v>444</v>
      </c>
      <c r="C30" s="323">
        <v>5557</v>
      </c>
      <c r="D30" s="323">
        <v>5007</v>
      </c>
      <c r="E30" s="324">
        <f t="shared" si="0"/>
        <v>90.10257333093395</v>
      </c>
      <c r="F30" s="329">
        <f t="shared" si="1"/>
        <v>-550</v>
      </c>
      <c r="G30" s="328"/>
    </row>
    <row r="31" spans="1:7" ht="21" customHeight="1">
      <c r="A31" s="330" t="s">
        <v>437</v>
      </c>
      <c r="B31" s="322" t="s">
        <v>444</v>
      </c>
      <c r="C31" s="323">
        <v>144102</v>
      </c>
      <c r="D31" s="323">
        <v>150845</v>
      </c>
      <c r="E31" s="324">
        <f t="shared" si="0"/>
        <v>104.67932436746194</v>
      </c>
      <c r="F31" s="329">
        <f t="shared" si="1"/>
        <v>6743</v>
      </c>
      <c r="G31" s="328"/>
    </row>
    <row r="32" spans="1:7" ht="21" customHeight="1">
      <c r="A32" s="330" t="s">
        <v>438</v>
      </c>
      <c r="B32" s="322" t="s">
        <v>444</v>
      </c>
      <c r="C32" s="323">
        <v>109684</v>
      </c>
      <c r="D32" s="323">
        <v>119737</v>
      </c>
      <c r="E32" s="324">
        <f t="shared" si="0"/>
        <v>109.1654206629955</v>
      </c>
      <c r="F32" s="329">
        <f t="shared" si="1"/>
        <v>10053</v>
      </c>
      <c r="G32" s="328"/>
    </row>
    <row r="33" spans="1:7" ht="21" customHeight="1">
      <c r="A33" s="330" t="s">
        <v>439</v>
      </c>
      <c r="B33" s="322" t="s">
        <v>444</v>
      </c>
      <c r="C33" s="323">
        <v>555359</v>
      </c>
      <c r="D33" s="323">
        <v>584778</v>
      </c>
      <c r="E33" s="324">
        <f t="shared" si="0"/>
        <v>105.29729418268184</v>
      </c>
      <c r="F33" s="329">
        <f t="shared" si="1"/>
        <v>29419</v>
      </c>
      <c r="G33" s="328"/>
    </row>
    <row r="34" spans="1:7" ht="21" customHeight="1">
      <c r="A34" s="330" t="s">
        <v>440</v>
      </c>
      <c r="B34" s="322" t="s">
        <v>444</v>
      </c>
      <c r="C34" s="323">
        <v>335060</v>
      </c>
      <c r="D34" s="323">
        <v>346886</v>
      </c>
      <c r="E34" s="327">
        <f t="shared" si="0"/>
        <v>103.52951710141467</v>
      </c>
      <c r="F34" s="332">
        <f t="shared" si="1"/>
        <v>11826</v>
      </c>
      <c r="G34" s="328"/>
    </row>
    <row r="35" spans="1:7" ht="9.75" customHeight="1">
      <c r="A35" s="333"/>
      <c r="B35" s="334"/>
      <c r="C35" s="335"/>
      <c r="D35" s="335"/>
      <c r="E35" s="336"/>
      <c r="F35" s="337"/>
      <c r="G35" s="328"/>
    </row>
    <row r="36" spans="1:7" ht="18" customHeight="1">
      <c r="A36" s="1405">
        <v>9</v>
      </c>
      <c r="B36" s="1405"/>
      <c r="C36" s="1405"/>
      <c r="D36" s="1405"/>
      <c r="E36" s="1405"/>
      <c r="F36" s="1405"/>
      <c r="G36" s="328"/>
    </row>
    <row r="37" spans="1:7" ht="18" customHeight="1">
      <c r="A37" s="338"/>
      <c r="B37" s="338"/>
      <c r="C37" s="339"/>
      <c r="D37" s="1402" t="s">
        <v>196</v>
      </c>
      <c r="E37" s="1402"/>
      <c r="F37" s="1402"/>
      <c r="G37" s="328"/>
    </row>
    <row r="38" spans="1:7" ht="24.75" customHeight="1">
      <c r="A38" s="1395" t="s">
        <v>408</v>
      </c>
      <c r="B38" s="1395" t="s">
        <v>415</v>
      </c>
      <c r="C38" s="1403" t="s">
        <v>175</v>
      </c>
      <c r="D38" s="1404"/>
      <c r="E38" s="1403" t="s">
        <v>267</v>
      </c>
      <c r="F38" s="1404"/>
      <c r="G38" s="328"/>
    </row>
    <row r="39" spans="1:7" ht="33" customHeight="1">
      <c r="A39" s="1396"/>
      <c r="B39" s="1396"/>
      <c r="C39" s="340">
        <v>2011</v>
      </c>
      <c r="D39" s="340">
        <v>2012</v>
      </c>
      <c r="E39" s="341" t="s">
        <v>362</v>
      </c>
      <c r="F39" s="340" t="s">
        <v>416</v>
      </c>
      <c r="G39" s="328"/>
    </row>
    <row r="40" spans="1:7" ht="13.5" customHeight="1">
      <c r="A40" s="330" t="s">
        <v>441</v>
      </c>
      <c r="B40" s="322" t="s">
        <v>444</v>
      </c>
      <c r="C40" s="323">
        <v>1103287</v>
      </c>
      <c r="D40" s="323">
        <v>1156252</v>
      </c>
      <c r="E40" s="324">
        <f t="shared" ref="E40:E90" si="2">(D40/C40)*100</f>
        <v>104.80065477069883</v>
      </c>
      <c r="F40" s="329">
        <f t="shared" ref="F40:F90" si="3">D40-C40</f>
        <v>52965</v>
      </c>
      <c r="G40" s="328"/>
    </row>
    <row r="41" spans="1:7" ht="18" customHeight="1">
      <c r="A41" s="330" t="s">
        <v>436</v>
      </c>
      <c r="B41" s="322" t="s">
        <v>444</v>
      </c>
      <c r="C41" s="323">
        <v>5415</v>
      </c>
      <c r="D41" s="323">
        <v>4798</v>
      </c>
      <c r="E41" s="324">
        <f t="shared" si="2"/>
        <v>88.605724838411817</v>
      </c>
      <c r="F41" s="329">
        <f t="shared" si="3"/>
        <v>-617</v>
      </c>
      <c r="G41" s="328"/>
    </row>
    <row r="42" spans="1:7" ht="15" customHeight="1">
      <c r="A42" s="330" t="s">
        <v>437</v>
      </c>
      <c r="B42" s="322" t="s">
        <v>444</v>
      </c>
      <c r="C42" s="323">
        <v>139847</v>
      </c>
      <c r="D42" s="323">
        <v>146369</v>
      </c>
      <c r="E42" s="324">
        <f t="shared" si="2"/>
        <v>104.66366815162284</v>
      </c>
      <c r="F42" s="329">
        <f t="shared" si="3"/>
        <v>6522</v>
      </c>
      <c r="G42" s="328"/>
    </row>
    <row r="43" spans="1:7" ht="15" customHeight="1">
      <c r="A43" s="330" t="s">
        <v>438</v>
      </c>
      <c r="B43" s="322" t="s">
        <v>444</v>
      </c>
      <c r="C43" s="323">
        <v>104636</v>
      </c>
      <c r="D43" s="323">
        <v>114451</v>
      </c>
      <c r="E43" s="324">
        <f t="shared" si="2"/>
        <v>109.38013685538439</v>
      </c>
      <c r="F43" s="329">
        <f t="shared" si="3"/>
        <v>9815</v>
      </c>
    </row>
    <row r="44" spans="1:7" ht="15" customHeight="1">
      <c r="A44" s="330" t="s">
        <v>439</v>
      </c>
      <c r="B44" s="322" t="s">
        <v>444</v>
      </c>
      <c r="C44" s="323">
        <v>524694</v>
      </c>
      <c r="D44" s="323">
        <v>550092</v>
      </c>
      <c r="E44" s="324">
        <f t="shared" si="2"/>
        <v>104.84053562647944</v>
      </c>
      <c r="F44" s="329">
        <f t="shared" si="3"/>
        <v>25398</v>
      </c>
    </row>
    <row r="45" spans="1:7" ht="15" customHeight="1">
      <c r="A45" s="342" t="s">
        <v>440</v>
      </c>
      <c r="B45" s="322" t="s">
        <v>444</v>
      </c>
      <c r="C45" s="323">
        <v>328695</v>
      </c>
      <c r="D45" s="323">
        <v>340542</v>
      </c>
      <c r="E45" s="324">
        <f t="shared" si="2"/>
        <v>103.60425318304203</v>
      </c>
      <c r="F45" s="329">
        <f t="shared" si="3"/>
        <v>11847</v>
      </c>
    </row>
    <row r="46" spans="1:7" ht="26.25" customHeight="1">
      <c r="A46" s="331" t="s">
        <v>442</v>
      </c>
      <c r="B46" s="343" t="s">
        <v>443</v>
      </c>
      <c r="C46" s="323">
        <v>96</v>
      </c>
      <c r="D46" s="323">
        <v>95.8</v>
      </c>
      <c r="E46" s="324">
        <f t="shared" si="2"/>
        <v>99.791666666666671</v>
      </c>
      <c r="F46" s="325">
        <f t="shared" si="3"/>
        <v>-0.20000000000000284</v>
      </c>
    </row>
    <row r="47" spans="1:7" ht="15" customHeight="1">
      <c r="A47" s="330" t="s">
        <v>447</v>
      </c>
      <c r="B47" s="322" t="s">
        <v>444</v>
      </c>
      <c r="C47" s="323">
        <v>46475</v>
      </c>
      <c r="D47" s="323">
        <v>51001</v>
      </c>
      <c r="E47" s="344">
        <f t="shared" si="2"/>
        <v>109.73856912318452</v>
      </c>
      <c r="F47" s="332">
        <f t="shared" si="3"/>
        <v>4526</v>
      </c>
    </row>
    <row r="48" spans="1:7" ht="15" customHeight="1">
      <c r="A48" s="330" t="s">
        <v>436</v>
      </c>
      <c r="B48" s="322" t="s">
        <v>444</v>
      </c>
      <c r="C48" s="323">
        <v>142</v>
      </c>
      <c r="D48" s="323">
        <v>209</v>
      </c>
      <c r="E48" s="324">
        <f t="shared" si="2"/>
        <v>147.18309859154931</v>
      </c>
      <c r="F48" s="329">
        <f t="shared" si="3"/>
        <v>67</v>
      </c>
    </row>
    <row r="49" spans="1:6" ht="15" customHeight="1">
      <c r="A49" s="330" t="s">
        <v>437</v>
      </c>
      <c r="B49" s="322" t="s">
        <v>444</v>
      </c>
      <c r="C49" s="323">
        <v>4255</v>
      </c>
      <c r="D49" s="323">
        <v>4476</v>
      </c>
      <c r="E49" s="324">
        <f t="shared" si="2"/>
        <v>105.19388954171562</v>
      </c>
      <c r="F49" s="329">
        <f t="shared" si="3"/>
        <v>221</v>
      </c>
    </row>
    <row r="50" spans="1:6" ht="15" customHeight="1">
      <c r="A50" s="330" t="s">
        <v>438</v>
      </c>
      <c r="B50" s="322" t="s">
        <v>444</v>
      </c>
      <c r="C50" s="323">
        <v>5048</v>
      </c>
      <c r="D50" s="323">
        <v>5286</v>
      </c>
      <c r="E50" s="324">
        <f t="shared" si="2"/>
        <v>104.7147385103011</v>
      </c>
      <c r="F50" s="329">
        <f t="shared" si="3"/>
        <v>238</v>
      </c>
    </row>
    <row r="51" spans="1:6" ht="15" customHeight="1">
      <c r="A51" s="330" t="s">
        <v>439</v>
      </c>
      <c r="B51" s="322" t="s">
        <v>444</v>
      </c>
      <c r="C51" s="323">
        <v>30665</v>
      </c>
      <c r="D51" s="323">
        <v>34686</v>
      </c>
      <c r="E51" s="324">
        <f t="shared" si="2"/>
        <v>113.11266916680253</v>
      </c>
      <c r="F51" s="329">
        <f t="shared" si="3"/>
        <v>4021</v>
      </c>
    </row>
    <row r="52" spans="1:6" ht="15" customHeight="1">
      <c r="A52" s="342" t="s">
        <v>440</v>
      </c>
      <c r="B52" s="322" t="s">
        <v>444</v>
      </c>
      <c r="C52" s="323">
        <v>6365</v>
      </c>
      <c r="D52" s="323">
        <v>6344</v>
      </c>
      <c r="E52" s="324">
        <f t="shared" si="2"/>
        <v>99.670070699135906</v>
      </c>
      <c r="F52" s="329">
        <f t="shared" si="3"/>
        <v>-21</v>
      </c>
    </row>
    <row r="53" spans="1:6" ht="24.75" customHeight="1">
      <c r="A53" s="331" t="s">
        <v>448</v>
      </c>
      <c r="B53" s="345" t="s">
        <v>443</v>
      </c>
      <c r="C53" s="346">
        <v>4</v>
      </c>
      <c r="D53" s="346">
        <v>4.2</v>
      </c>
      <c r="E53" s="327">
        <f t="shared" si="2"/>
        <v>105</v>
      </c>
      <c r="F53" s="332">
        <f t="shared" si="3"/>
        <v>0.20000000000000018</v>
      </c>
    </row>
    <row r="54" spans="1:6" ht="15" customHeight="1">
      <c r="A54" s="347" t="s">
        <v>449</v>
      </c>
      <c r="B54" s="322" t="s">
        <v>444</v>
      </c>
      <c r="C54" s="323">
        <v>494117</v>
      </c>
      <c r="D54" s="323">
        <v>537132</v>
      </c>
      <c r="E54" s="324">
        <f t="shared" si="2"/>
        <v>108.705428066632</v>
      </c>
      <c r="F54" s="329">
        <f t="shared" si="3"/>
        <v>43015</v>
      </c>
    </row>
    <row r="55" spans="1:6" ht="15" customHeight="1">
      <c r="A55" s="330" t="s">
        <v>450</v>
      </c>
      <c r="B55" s="322" t="s">
        <v>444</v>
      </c>
      <c r="C55" s="323">
        <v>1954</v>
      </c>
      <c r="D55" s="323">
        <v>1755</v>
      </c>
      <c r="E55" s="324">
        <f t="shared" si="2"/>
        <v>89.815762538382799</v>
      </c>
      <c r="F55" s="329">
        <f t="shared" si="3"/>
        <v>-199</v>
      </c>
    </row>
    <row r="56" spans="1:6" ht="15" customHeight="1">
      <c r="A56" s="330" t="s">
        <v>451</v>
      </c>
      <c r="B56" s="322" t="s">
        <v>444</v>
      </c>
      <c r="C56" s="323">
        <v>43544</v>
      </c>
      <c r="D56" s="323">
        <v>45391</v>
      </c>
      <c r="E56" s="324">
        <f t="shared" si="2"/>
        <v>104.24168656990631</v>
      </c>
      <c r="F56" s="329">
        <f t="shared" si="3"/>
        <v>1847</v>
      </c>
    </row>
    <row r="57" spans="1:6" ht="15" customHeight="1">
      <c r="A57" s="330" t="s">
        <v>452</v>
      </c>
      <c r="B57" s="322" t="s">
        <v>444</v>
      </c>
      <c r="C57" s="323">
        <v>44037</v>
      </c>
      <c r="D57" s="323">
        <v>47463</v>
      </c>
      <c r="E57" s="324">
        <f t="shared" si="2"/>
        <v>107.77982151372709</v>
      </c>
      <c r="F57" s="329">
        <f t="shared" si="3"/>
        <v>3426</v>
      </c>
    </row>
    <row r="58" spans="1:6" ht="15" customHeight="1">
      <c r="A58" s="330" t="s">
        <v>453</v>
      </c>
      <c r="B58" s="322" t="s">
        <v>444</v>
      </c>
      <c r="C58" s="323">
        <v>254242</v>
      </c>
      <c r="D58" s="323">
        <v>279946</v>
      </c>
      <c r="E58" s="324">
        <f t="shared" si="2"/>
        <v>110.11005262702464</v>
      </c>
      <c r="F58" s="329">
        <f t="shared" si="3"/>
        <v>25704</v>
      </c>
    </row>
    <row r="59" spans="1:6" ht="15" customHeight="1">
      <c r="A59" s="330" t="s">
        <v>454</v>
      </c>
      <c r="B59" s="322" t="s">
        <v>444</v>
      </c>
      <c r="C59" s="323">
        <v>150340</v>
      </c>
      <c r="D59" s="323">
        <v>162577</v>
      </c>
      <c r="E59" s="324">
        <f t="shared" si="2"/>
        <v>108.13955035253426</v>
      </c>
      <c r="F59" s="329">
        <f t="shared" si="3"/>
        <v>12237</v>
      </c>
    </row>
    <row r="60" spans="1:6" ht="25.5" customHeight="1">
      <c r="A60" s="331" t="s">
        <v>455</v>
      </c>
      <c r="B60" s="345" t="s">
        <v>443</v>
      </c>
      <c r="C60" s="323">
        <v>43</v>
      </c>
      <c r="D60" s="323">
        <v>44.5</v>
      </c>
      <c r="E60" s="324">
        <f t="shared" si="2"/>
        <v>103.48837209302326</v>
      </c>
      <c r="F60" s="325">
        <f t="shared" si="3"/>
        <v>1.5</v>
      </c>
    </row>
    <row r="61" spans="1:6" ht="15" customHeight="1">
      <c r="A61" s="330" t="s">
        <v>456</v>
      </c>
      <c r="B61" s="322" t="s">
        <v>444</v>
      </c>
      <c r="C61" s="323">
        <v>426803</v>
      </c>
      <c r="D61" s="323">
        <v>421407</v>
      </c>
      <c r="E61" s="324">
        <f t="shared" si="2"/>
        <v>98.735716478094105</v>
      </c>
      <c r="F61" s="329">
        <f t="shared" si="3"/>
        <v>-5396</v>
      </c>
    </row>
    <row r="62" spans="1:6" ht="15" customHeight="1">
      <c r="A62" s="330" t="s">
        <v>450</v>
      </c>
      <c r="B62" s="322" t="s">
        <v>444</v>
      </c>
      <c r="C62" s="323">
        <v>1079</v>
      </c>
      <c r="D62" s="323">
        <v>844</v>
      </c>
      <c r="E62" s="324">
        <f t="shared" si="2"/>
        <v>78.22057460611677</v>
      </c>
      <c r="F62" s="329">
        <f t="shared" si="3"/>
        <v>-235</v>
      </c>
    </row>
    <row r="63" spans="1:6" ht="15" customHeight="1">
      <c r="A63" s="330" t="s">
        <v>451</v>
      </c>
      <c r="B63" s="322" t="s">
        <v>444</v>
      </c>
      <c r="C63" s="323">
        <v>24909</v>
      </c>
      <c r="D63" s="323">
        <v>27223</v>
      </c>
      <c r="E63" s="324">
        <f t="shared" si="2"/>
        <v>109.28981492633186</v>
      </c>
      <c r="F63" s="329">
        <f t="shared" si="3"/>
        <v>2314</v>
      </c>
    </row>
    <row r="64" spans="1:6" ht="15" customHeight="1">
      <c r="A64" s="330" t="s">
        <v>452</v>
      </c>
      <c r="B64" s="322" t="s">
        <v>444</v>
      </c>
      <c r="C64" s="323">
        <v>28453</v>
      </c>
      <c r="D64" s="323">
        <v>31160</v>
      </c>
      <c r="E64" s="324">
        <f t="shared" si="2"/>
        <v>109.51393526165958</v>
      </c>
      <c r="F64" s="329">
        <f t="shared" si="3"/>
        <v>2707</v>
      </c>
    </row>
    <row r="65" spans="1:6" ht="15" customHeight="1">
      <c r="A65" s="330" t="s">
        <v>453</v>
      </c>
      <c r="B65" s="322" t="s">
        <v>444</v>
      </c>
      <c r="C65" s="323">
        <v>241961</v>
      </c>
      <c r="D65" s="323">
        <v>232953</v>
      </c>
      <c r="E65" s="324">
        <f t="shared" si="2"/>
        <v>96.27708597666566</v>
      </c>
      <c r="F65" s="329">
        <f t="shared" si="3"/>
        <v>-9008</v>
      </c>
    </row>
    <row r="66" spans="1:6" ht="15" customHeight="1">
      <c r="A66" s="330" t="s">
        <v>454</v>
      </c>
      <c r="B66" s="322" t="s">
        <v>444</v>
      </c>
      <c r="C66" s="323">
        <v>132302</v>
      </c>
      <c r="D66" s="323">
        <v>129227</v>
      </c>
      <c r="E66" s="324">
        <f t="shared" si="2"/>
        <v>97.675772097171617</v>
      </c>
      <c r="F66" s="329">
        <f t="shared" si="3"/>
        <v>-3075</v>
      </c>
    </row>
    <row r="67" spans="1:6" ht="15" customHeight="1">
      <c r="A67" s="330" t="s">
        <v>457</v>
      </c>
      <c r="B67" s="322" t="s">
        <v>444</v>
      </c>
      <c r="C67" s="323">
        <v>423530</v>
      </c>
      <c r="D67" s="323">
        <v>420469</v>
      </c>
      <c r="E67" s="324">
        <f t="shared" si="2"/>
        <v>99.27726489268764</v>
      </c>
      <c r="F67" s="329">
        <f t="shared" si="3"/>
        <v>-3061</v>
      </c>
    </row>
    <row r="68" spans="1:6" ht="15" customHeight="1">
      <c r="A68" s="330" t="s">
        <v>458</v>
      </c>
      <c r="B68" s="322" t="s">
        <v>444</v>
      </c>
      <c r="C68" s="323">
        <v>1044</v>
      </c>
      <c r="D68" s="323">
        <v>824</v>
      </c>
      <c r="E68" s="324">
        <f t="shared" si="2"/>
        <v>78.927203065134094</v>
      </c>
      <c r="F68" s="329">
        <f t="shared" si="3"/>
        <v>-220</v>
      </c>
    </row>
    <row r="69" spans="1:6" ht="15" customHeight="1">
      <c r="A69" s="330" t="s">
        <v>459</v>
      </c>
      <c r="B69" s="322" t="s">
        <v>444</v>
      </c>
      <c r="C69" s="323">
        <v>24654</v>
      </c>
      <c r="D69" s="323">
        <v>26745</v>
      </c>
      <c r="E69" s="324">
        <f t="shared" si="2"/>
        <v>108.48138233146751</v>
      </c>
      <c r="F69" s="329">
        <f t="shared" si="3"/>
        <v>2091</v>
      </c>
    </row>
    <row r="70" spans="1:6" ht="15" customHeight="1">
      <c r="A70" s="330" t="s">
        <v>460</v>
      </c>
      <c r="B70" s="322" t="s">
        <v>444</v>
      </c>
      <c r="C70" s="323">
        <v>28128</v>
      </c>
      <c r="D70" s="323">
        <v>30696</v>
      </c>
      <c r="E70" s="324">
        <f t="shared" si="2"/>
        <v>109.1296928327645</v>
      </c>
      <c r="F70" s="329">
        <f t="shared" si="3"/>
        <v>2568</v>
      </c>
    </row>
    <row r="71" spans="1:6" ht="15" customHeight="1">
      <c r="A71" s="330" t="s">
        <v>461</v>
      </c>
      <c r="B71" s="322" t="s">
        <v>444</v>
      </c>
      <c r="C71" s="323">
        <v>239568</v>
      </c>
      <c r="D71" s="323">
        <v>236309</v>
      </c>
      <c r="E71" s="324">
        <f t="shared" si="2"/>
        <v>98.63963467574969</v>
      </c>
      <c r="F71" s="329">
        <f t="shared" si="3"/>
        <v>-3259</v>
      </c>
    </row>
    <row r="72" spans="1:6" ht="15" customHeight="1">
      <c r="A72" s="330" t="s">
        <v>462</v>
      </c>
      <c r="B72" s="322" t="s">
        <v>444</v>
      </c>
      <c r="C72" s="323">
        <v>130136</v>
      </c>
      <c r="D72" s="323">
        <v>125895</v>
      </c>
      <c r="E72" s="324">
        <f t="shared" si="2"/>
        <v>96.741101616770152</v>
      </c>
      <c r="F72" s="329">
        <f t="shared" si="3"/>
        <v>-4241</v>
      </c>
    </row>
    <row r="73" spans="1:6" ht="15" customHeight="1">
      <c r="A73" s="330" t="s">
        <v>463</v>
      </c>
      <c r="B73" s="322" t="s">
        <v>444</v>
      </c>
      <c r="C73" s="332">
        <v>78</v>
      </c>
      <c r="D73" s="332">
        <v>85</v>
      </c>
      <c r="E73" s="324">
        <f t="shared" si="2"/>
        <v>108.97435897435896</v>
      </c>
      <c r="F73" s="329">
        <f t="shared" si="3"/>
        <v>7</v>
      </c>
    </row>
    <row r="74" spans="1:6" ht="15" customHeight="1">
      <c r="A74" s="330" t="s">
        <v>458</v>
      </c>
      <c r="B74" s="322" t="s">
        <v>444</v>
      </c>
      <c r="C74" s="332">
        <v>49</v>
      </c>
      <c r="D74" s="332">
        <v>50</v>
      </c>
      <c r="E74" s="324">
        <f t="shared" si="2"/>
        <v>102.04081632653062</v>
      </c>
      <c r="F74" s="329">
        <f t="shared" si="3"/>
        <v>1</v>
      </c>
    </row>
    <row r="75" spans="1:6" ht="15" customHeight="1">
      <c r="A75" s="330" t="s">
        <v>459</v>
      </c>
      <c r="B75" s="322" t="s">
        <v>444</v>
      </c>
      <c r="C75" s="332">
        <v>59</v>
      </c>
      <c r="D75" s="332">
        <v>61</v>
      </c>
      <c r="E75" s="324">
        <f t="shared" si="2"/>
        <v>103.38983050847457</v>
      </c>
      <c r="F75" s="329">
        <f t="shared" si="3"/>
        <v>2</v>
      </c>
    </row>
    <row r="76" spans="1:6" ht="15" customHeight="1">
      <c r="A76" s="330" t="s">
        <v>460</v>
      </c>
      <c r="B76" s="322" t="s">
        <v>444</v>
      </c>
      <c r="C76" s="332">
        <v>66</v>
      </c>
      <c r="D76" s="332">
        <v>70</v>
      </c>
      <c r="E76" s="324">
        <f t="shared" si="2"/>
        <v>106.06060606060606</v>
      </c>
      <c r="F76" s="329">
        <f t="shared" si="3"/>
        <v>4</v>
      </c>
    </row>
    <row r="77" spans="1:6" ht="15" customHeight="1">
      <c r="A77" s="330" t="s">
        <v>461</v>
      </c>
      <c r="B77" s="322" t="s">
        <v>444</v>
      </c>
      <c r="C77" s="332">
        <v>82</v>
      </c>
      <c r="D77" s="332">
        <v>93</v>
      </c>
      <c r="E77" s="324">
        <f t="shared" si="2"/>
        <v>113.41463414634146</v>
      </c>
      <c r="F77" s="329">
        <f t="shared" si="3"/>
        <v>11</v>
      </c>
    </row>
    <row r="78" spans="1:6" ht="15" customHeight="1">
      <c r="A78" s="330" t="s">
        <v>462</v>
      </c>
      <c r="B78" s="322" t="s">
        <v>444</v>
      </c>
      <c r="C78" s="332">
        <v>78</v>
      </c>
      <c r="D78" s="332">
        <v>84</v>
      </c>
      <c r="E78" s="324">
        <f t="shared" si="2"/>
        <v>107.69230769230769</v>
      </c>
      <c r="F78" s="329">
        <f t="shared" si="3"/>
        <v>6</v>
      </c>
    </row>
    <row r="79" spans="1:6" ht="15" customHeight="1">
      <c r="A79" s="330" t="s">
        <v>464</v>
      </c>
      <c r="B79" s="322" t="s">
        <v>274</v>
      </c>
      <c r="C79" s="323">
        <v>5174</v>
      </c>
      <c r="D79" s="323">
        <v>8788</v>
      </c>
      <c r="E79" s="327">
        <f t="shared" si="2"/>
        <v>169.84924623115577</v>
      </c>
      <c r="F79" s="332">
        <f t="shared" si="3"/>
        <v>3614</v>
      </c>
    </row>
    <row r="80" spans="1:6" ht="14.25" customHeight="1">
      <c r="A80" s="348"/>
      <c r="B80" s="348"/>
      <c r="C80" s="349"/>
      <c r="D80" s="349"/>
      <c r="E80" s="349"/>
      <c r="F80" s="349"/>
    </row>
    <row r="81" spans="1:6" ht="15" customHeight="1">
      <c r="A81" s="1397">
        <v>10</v>
      </c>
      <c r="B81" s="1397"/>
      <c r="C81" s="1397"/>
      <c r="D81" s="1397"/>
      <c r="E81" s="1397"/>
      <c r="F81" s="1397"/>
    </row>
    <row r="82" spans="1:6" ht="15" customHeight="1">
      <c r="A82" s="333"/>
      <c r="B82" s="334"/>
      <c r="C82" s="336"/>
      <c r="D82" s="1407" t="s">
        <v>196</v>
      </c>
      <c r="E82" s="1407"/>
      <c r="F82" s="1407"/>
    </row>
    <row r="83" spans="1:6" ht="24" customHeight="1">
      <c r="A83" s="1395" t="s">
        <v>408</v>
      </c>
      <c r="B83" s="1395" t="s">
        <v>415</v>
      </c>
      <c r="C83" s="1403" t="s">
        <v>175</v>
      </c>
      <c r="D83" s="1404"/>
      <c r="E83" s="1403" t="s">
        <v>267</v>
      </c>
      <c r="F83" s="1404"/>
    </row>
    <row r="84" spans="1:6" ht="41.25" customHeight="1">
      <c r="A84" s="1396"/>
      <c r="B84" s="1396"/>
      <c r="C84" s="340">
        <v>2011</v>
      </c>
      <c r="D84" s="340">
        <v>2012</v>
      </c>
      <c r="E84" s="341" t="s">
        <v>362</v>
      </c>
      <c r="F84" s="350" t="s">
        <v>416</v>
      </c>
    </row>
    <row r="85" spans="1:6" ht="15" customHeight="1">
      <c r="A85" s="322" t="s">
        <v>277</v>
      </c>
      <c r="B85" s="322">
        <v>1</v>
      </c>
      <c r="C85" s="322">
        <v>2</v>
      </c>
      <c r="D85" s="322">
        <v>3</v>
      </c>
      <c r="E85" s="322">
        <v>4</v>
      </c>
      <c r="F85" s="322">
        <v>6</v>
      </c>
    </row>
    <row r="86" spans="1:6" ht="18" customHeight="1">
      <c r="A86" s="330" t="s">
        <v>487</v>
      </c>
      <c r="B86" s="345" t="s">
        <v>443</v>
      </c>
      <c r="C86" s="323">
        <v>99.2</v>
      </c>
      <c r="D86" s="323">
        <v>99.8</v>
      </c>
      <c r="E86" s="324">
        <f>(D86/C86)*100</f>
        <v>100.60483870967742</v>
      </c>
      <c r="F86" s="325">
        <f>D86-C86</f>
        <v>0.59999999999999432</v>
      </c>
    </row>
    <row r="87" spans="1:6" ht="18" customHeight="1">
      <c r="A87" s="330" t="s">
        <v>465</v>
      </c>
      <c r="B87" s="322" t="s">
        <v>444</v>
      </c>
      <c r="C87" s="323">
        <v>10915</v>
      </c>
      <c r="D87" s="323">
        <v>14162</v>
      </c>
      <c r="E87" s="327">
        <f>(D87/C87)*100</f>
        <v>129.74805313788366</v>
      </c>
      <c r="F87" s="332">
        <f>D87-C87</f>
        <v>3247</v>
      </c>
    </row>
    <row r="88" spans="1:6" ht="25.5" customHeight="1">
      <c r="A88" s="351" t="s">
        <v>466</v>
      </c>
      <c r="B88" s="345" t="s">
        <v>443</v>
      </c>
      <c r="C88" s="323">
        <v>0.98</v>
      </c>
      <c r="D88" s="323">
        <v>1.23</v>
      </c>
      <c r="E88" s="324">
        <f t="shared" si="2"/>
        <v>125.51020408163265</v>
      </c>
      <c r="F88" s="352">
        <f t="shared" si="3"/>
        <v>0.25</v>
      </c>
    </row>
    <row r="89" spans="1:6" ht="18" customHeight="1">
      <c r="A89" s="351" t="s">
        <v>467</v>
      </c>
      <c r="B89" s="322" t="s">
        <v>274</v>
      </c>
      <c r="C89" s="323">
        <v>222</v>
      </c>
      <c r="D89" s="323">
        <v>351</v>
      </c>
      <c r="E89" s="324">
        <f t="shared" si="2"/>
        <v>158.10810810810813</v>
      </c>
      <c r="F89" s="329">
        <f t="shared" si="3"/>
        <v>129</v>
      </c>
    </row>
    <row r="90" spans="1:6" ht="18" customHeight="1">
      <c r="A90" s="351" t="s">
        <v>468</v>
      </c>
      <c r="B90" s="322" t="s">
        <v>274</v>
      </c>
      <c r="C90" s="323">
        <v>2045</v>
      </c>
      <c r="D90" s="323">
        <v>1385</v>
      </c>
      <c r="E90" s="324">
        <f t="shared" si="2"/>
        <v>67.72616136919315</v>
      </c>
      <c r="F90" s="329">
        <f t="shared" si="3"/>
        <v>-660</v>
      </c>
    </row>
    <row r="91" spans="1:6" ht="18" customHeight="1">
      <c r="A91" s="351" t="s">
        <v>469</v>
      </c>
      <c r="B91" s="322" t="s">
        <v>445</v>
      </c>
      <c r="C91" s="323">
        <v>176</v>
      </c>
      <c r="D91" s="323">
        <v>159</v>
      </c>
      <c r="E91" s="324">
        <f t="shared" ref="E91:E107" si="4">(D91/C91)*100</f>
        <v>90.340909090909093</v>
      </c>
      <c r="F91" s="329">
        <f t="shared" ref="F91:F107" si="5">D91-C91</f>
        <v>-17</v>
      </c>
    </row>
    <row r="92" spans="1:6" ht="18" customHeight="1">
      <c r="A92" s="330" t="s">
        <v>470</v>
      </c>
      <c r="B92" s="322" t="s">
        <v>446</v>
      </c>
      <c r="C92" s="327">
        <v>9412.4</v>
      </c>
      <c r="D92" s="327">
        <v>12010</v>
      </c>
      <c r="E92" s="324">
        <f t="shared" si="4"/>
        <v>127.59763715949175</v>
      </c>
      <c r="F92" s="325">
        <f t="shared" si="5"/>
        <v>2597.6000000000004</v>
      </c>
    </row>
    <row r="93" spans="1:6" ht="18" customHeight="1">
      <c r="A93" s="330" t="s">
        <v>471</v>
      </c>
      <c r="B93" s="322" t="s">
        <v>446</v>
      </c>
      <c r="C93" s="323">
        <v>242.3</v>
      </c>
      <c r="D93" s="323">
        <v>273.7</v>
      </c>
      <c r="E93" s="324">
        <f t="shared" si="4"/>
        <v>112.95914156004952</v>
      </c>
      <c r="F93" s="325">
        <f t="shared" si="5"/>
        <v>31.399999999999977</v>
      </c>
    </row>
    <row r="94" spans="1:6" ht="18" customHeight="1">
      <c r="A94" s="330" t="s">
        <v>472</v>
      </c>
      <c r="B94" s="322" t="s">
        <v>446</v>
      </c>
      <c r="C94" s="323">
        <v>138.1</v>
      </c>
      <c r="D94" s="323">
        <v>88.5</v>
      </c>
      <c r="E94" s="324">
        <f t="shared" si="4"/>
        <v>64.083997103548157</v>
      </c>
      <c r="F94" s="325">
        <f t="shared" si="5"/>
        <v>-49.599999999999994</v>
      </c>
    </row>
    <row r="95" spans="1:6" ht="18" customHeight="1">
      <c r="A95" s="330" t="s">
        <v>473</v>
      </c>
      <c r="B95" s="322" t="s">
        <v>367</v>
      </c>
      <c r="C95" s="323">
        <v>5501.5</v>
      </c>
      <c r="D95" s="323">
        <v>13449</v>
      </c>
      <c r="E95" s="344">
        <f t="shared" si="4"/>
        <v>244.46060165409435</v>
      </c>
      <c r="F95" s="327">
        <f t="shared" si="5"/>
        <v>7947.5</v>
      </c>
    </row>
    <row r="96" spans="1:6" ht="18" customHeight="1">
      <c r="A96" s="330" t="s">
        <v>474</v>
      </c>
      <c r="B96" s="322" t="s">
        <v>367</v>
      </c>
      <c r="C96" s="325">
        <v>2221.9</v>
      </c>
      <c r="D96" s="325">
        <v>3031</v>
      </c>
      <c r="E96" s="324">
        <f t="shared" si="4"/>
        <v>136.41478014312074</v>
      </c>
      <c r="F96" s="325">
        <f t="shared" si="5"/>
        <v>809.09999999999991</v>
      </c>
    </row>
    <row r="97" spans="1:6" ht="18" customHeight="1">
      <c r="A97" s="330" t="s">
        <v>475</v>
      </c>
      <c r="B97" s="322" t="s">
        <v>367</v>
      </c>
      <c r="C97" s="323">
        <v>997</v>
      </c>
      <c r="D97" s="323">
        <v>738.8</v>
      </c>
      <c r="E97" s="324">
        <f t="shared" si="4"/>
        <v>74.102306920762288</v>
      </c>
      <c r="F97" s="325">
        <f t="shared" si="5"/>
        <v>-258.20000000000005</v>
      </c>
    </row>
    <row r="98" spans="1:6" ht="18" customHeight="1">
      <c r="A98" s="347" t="s">
        <v>476</v>
      </c>
      <c r="B98" s="353" t="s">
        <v>367</v>
      </c>
      <c r="C98" s="325">
        <v>57027.9</v>
      </c>
      <c r="D98" s="325">
        <v>55266.1</v>
      </c>
      <c r="E98" s="324">
        <f t="shared" si="4"/>
        <v>96.910634969900684</v>
      </c>
      <c r="F98" s="325">
        <f t="shared" si="5"/>
        <v>-1761.8000000000029</v>
      </c>
    </row>
    <row r="99" spans="1:6" ht="18" customHeight="1">
      <c r="A99" s="330" t="s">
        <v>477</v>
      </c>
      <c r="B99" s="322" t="s">
        <v>367</v>
      </c>
      <c r="C99" s="323">
        <v>182.8</v>
      </c>
      <c r="D99" s="323">
        <v>99.6</v>
      </c>
      <c r="E99" s="324">
        <f t="shared" si="4"/>
        <v>54.485776805251639</v>
      </c>
      <c r="F99" s="325">
        <f t="shared" si="5"/>
        <v>-83.200000000000017</v>
      </c>
    </row>
    <row r="100" spans="1:6" ht="18" customHeight="1">
      <c r="A100" s="330" t="s">
        <v>478</v>
      </c>
      <c r="B100" s="343" t="s">
        <v>311</v>
      </c>
      <c r="C100" s="327">
        <v>21</v>
      </c>
      <c r="D100" s="327">
        <v>25.2</v>
      </c>
      <c r="E100" s="324">
        <f t="shared" si="4"/>
        <v>120</v>
      </c>
      <c r="F100" s="325">
        <f t="shared" si="5"/>
        <v>4.1999999999999993</v>
      </c>
    </row>
    <row r="101" spans="1:6" ht="18" customHeight="1">
      <c r="A101" s="330" t="s">
        <v>312</v>
      </c>
      <c r="B101" s="343" t="s">
        <v>313</v>
      </c>
      <c r="C101" s="323">
        <v>12099.5</v>
      </c>
      <c r="D101" s="323">
        <v>13490.7</v>
      </c>
      <c r="E101" s="324">
        <f t="shared" si="4"/>
        <v>111.49799578494979</v>
      </c>
      <c r="F101" s="325">
        <f t="shared" si="5"/>
        <v>1391.2000000000007</v>
      </c>
    </row>
    <row r="102" spans="1:6" ht="18" customHeight="1">
      <c r="A102" s="330" t="s">
        <v>479</v>
      </c>
      <c r="B102" s="322" t="s">
        <v>306</v>
      </c>
      <c r="C102" s="327">
        <v>55441.8</v>
      </c>
      <c r="D102" s="327">
        <v>77363.100000000006</v>
      </c>
      <c r="E102" s="324">
        <f t="shared" si="4"/>
        <v>139.5393006720561</v>
      </c>
      <c r="F102" s="325">
        <f t="shared" si="5"/>
        <v>21921.300000000003</v>
      </c>
    </row>
    <row r="103" spans="1:6" ht="18" customHeight="1">
      <c r="A103" s="330" t="s">
        <v>480</v>
      </c>
      <c r="B103" s="322" t="s">
        <v>304</v>
      </c>
      <c r="C103" s="327">
        <v>365.8</v>
      </c>
      <c r="D103" s="327">
        <v>386.8</v>
      </c>
      <c r="E103" s="324">
        <f t="shared" si="4"/>
        <v>105.74084199015856</v>
      </c>
      <c r="F103" s="325">
        <f t="shared" si="5"/>
        <v>21</v>
      </c>
    </row>
    <row r="104" spans="1:6" ht="18" customHeight="1">
      <c r="A104" s="330" t="s">
        <v>177</v>
      </c>
      <c r="B104" s="322" t="s">
        <v>274</v>
      </c>
      <c r="C104" s="323">
        <v>1094</v>
      </c>
      <c r="D104" s="323">
        <v>1042</v>
      </c>
      <c r="E104" s="324">
        <f t="shared" si="4"/>
        <v>95.24680073126143</v>
      </c>
      <c r="F104" s="329">
        <f t="shared" si="5"/>
        <v>-52</v>
      </c>
    </row>
    <row r="105" spans="1:6" ht="18" customHeight="1">
      <c r="A105" s="330" t="s">
        <v>481</v>
      </c>
      <c r="B105" s="322" t="s">
        <v>174</v>
      </c>
      <c r="C105" s="323">
        <v>1756</v>
      </c>
      <c r="D105" s="323">
        <v>1634</v>
      </c>
      <c r="E105" s="324">
        <f t="shared" si="4"/>
        <v>93.052391799544424</v>
      </c>
      <c r="F105" s="329">
        <f t="shared" si="5"/>
        <v>-122</v>
      </c>
    </row>
    <row r="106" spans="1:6" ht="18" customHeight="1">
      <c r="A106" s="342" t="s">
        <v>483</v>
      </c>
      <c r="B106" s="322" t="s">
        <v>274</v>
      </c>
      <c r="C106" s="332">
        <v>413</v>
      </c>
      <c r="D106" s="332">
        <v>578</v>
      </c>
      <c r="E106" s="324">
        <f t="shared" si="4"/>
        <v>139.95157384987894</v>
      </c>
      <c r="F106" s="332">
        <f t="shared" si="5"/>
        <v>165</v>
      </c>
    </row>
    <row r="107" spans="1:6" ht="18" customHeight="1">
      <c r="A107" s="330" t="s">
        <v>482</v>
      </c>
      <c r="B107" s="322" t="s">
        <v>306</v>
      </c>
      <c r="C107" s="327">
        <v>1356.1</v>
      </c>
      <c r="D107" s="327">
        <v>1106.9000000000001</v>
      </c>
      <c r="E107" s="324">
        <f t="shared" si="4"/>
        <v>81.623774057960347</v>
      </c>
      <c r="F107" s="329">
        <f t="shared" si="5"/>
        <v>-249.19999999999982</v>
      </c>
    </row>
    <row r="108" spans="1:6" ht="15" customHeight="1">
      <c r="A108" s="328"/>
      <c r="B108" s="328"/>
      <c r="C108" s="354" t="s">
        <v>210</v>
      </c>
      <c r="D108" s="354"/>
      <c r="E108" s="354"/>
      <c r="F108" s="354"/>
    </row>
    <row r="109" spans="1:6" ht="15" customHeight="1">
      <c r="A109" s="328"/>
      <c r="B109" s="328"/>
      <c r="C109" s="354"/>
      <c r="D109" s="315"/>
      <c r="E109" s="354"/>
      <c r="F109" s="354"/>
    </row>
    <row r="110" spans="1:6" ht="15" customHeight="1">
      <c r="A110" s="1406"/>
      <c r="B110" s="1406"/>
      <c r="C110" s="1406"/>
      <c r="D110" s="1406"/>
      <c r="E110" s="1406"/>
      <c r="F110" s="1406"/>
    </row>
    <row r="111" spans="1:6" ht="15" customHeight="1">
      <c r="D111" s="356"/>
    </row>
    <row r="112" spans="1:6" ht="15" customHeight="1">
      <c r="D112" s="356"/>
    </row>
    <row r="113" spans="1:6" ht="15" customHeight="1">
      <c r="D113" s="356"/>
    </row>
    <row r="114" spans="1:6" ht="15" customHeight="1">
      <c r="D114" s="356"/>
    </row>
    <row r="115" spans="1:6" ht="15" customHeight="1">
      <c r="D115" s="356"/>
    </row>
    <row r="116" spans="1:6" ht="15" customHeight="1">
      <c r="D116" s="356"/>
    </row>
    <row r="117" spans="1:6" ht="34.5" customHeight="1"/>
    <row r="118" spans="1:6" ht="15" customHeight="1">
      <c r="A118" s="1398">
        <v>11</v>
      </c>
      <c r="B118" s="1398"/>
      <c r="C118" s="1398"/>
      <c r="D118" s="1398"/>
      <c r="E118" s="1398"/>
      <c r="F118" s="1398"/>
    </row>
  </sheetData>
  <mergeCells count="19">
    <mergeCell ref="A118:F118"/>
    <mergeCell ref="A1:F1"/>
    <mergeCell ref="C4:D4"/>
    <mergeCell ref="E4:F4"/>
    <mergeCell ref="D37:F37"/>
    <mergeCell ref="E38:F38"/>
    <mergeCell ref="C38:D38"/>
    <mergeCell ref="A36:F36"/>
    <mergeCell ref="A110:F110"/>
    <mergeCell ref="C83:D83"/>
    <mergeCell ref="E83:F83"/>
    <mergeCell ref="D82:F82"/>
    <mergeCell ref="B83:B84"/>
    <mergeCell ref="B4:B5"/>
    <mergeCell ref="A4:A5"/>
    <mergeCell ref="A38:A39"/>
    <mergeCell ref="B38:B39"/>
    <mergeCell ref="A83:A84"/>
    <mergeCell ref="A81:F81"/>
  </mergeCells>
  <phoneticPr fontId="2" type="noConversion"/>
  <printOptions horizontalCentered="1" verticalCentered="1"/>
  <pageMargins left="0.49" right="0.31" top="0.54" bottom="0.19685039370078741" header="0" footer="0"/>
  <pageSetup paperSize="9" scale="110" orientation="portrait" horizontalDpi="120" verticalDpi="14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48"/>
  <sheetViews>
    <sheetView workbookViewId="0">
      <selection activeCell="P36" sqref="P36"/>
    </sheetView>
  </sheetViews>
  <sheetFormatPr defaultRowHeight="12.75"/>
  <cols>
    <col min="1" max="1" width="13.7109375" style="99" customWidth="1"/>
    <col min="2" max="4" width="8.5703125" style="99" customWidth="1"/>
    <col min="5" max="7" width="7.7109375" style="99" customWidth="1"/>
    <col min="8" max="10" width="7.140625" style="99" customWidth="1"/>
    <col min="11" max="11" width="6.5703125" style="99" customWidth="1"/>
    <col min="12" max="16384" width="9.140625" style="99"/>
  </cols>
  <sheetData>
    <row r="1" spans="1:11">
      <c r="A1" s="1657" t="s">
        <v>1392</v>
      </c>
      <c r="B1" s="1657"/>
      <c r="C1" s="1657"/>
      <c r="D1" s="1657"/>
      <c r="E1" s="1657"/>
      <c r="F1" s="1657"/>
      <c r="G1" s="1657"/>
      <c r="H1" s="1657"/>
      <c r="I1" s="1657"/>
    </row>
    <row r="2" spans="1:11">
      <c r="A2" s="398"/>
      <c r="B2" s="51"/>
      <c r="C2" s="51"/>
      <c r="D2" s="197"/>
      <c r="E2" s="197"/>
      <c r="G2" s="51"/>
      <c r="H2" s="51" t="s">
        <v>88</v>
      </c>
      <c r="I2" s="51"/>
    </row>
    <row r="3" spans="1:11" ht="12.75" customHeight="1">
      <c r="A3" s="1658" t="s">
        <v>210</v>
      </c>
      <c r="B3" s="719"/>
      <c r="C3" s="1610" t="s">
        <v>145</v>
      </c>
      <c r="D3" s="1610"/>
      <c r="E3" s="1598" t="s">
        <v>146</v>
      </c>
      <c r="F3" s="1598"/>
      <c r="G3" s="1604"/>
      <c r="H3" s="1585" t="s">
        <v>901</v>
      </c>
      <c r="I3" s="1585" t="s">
        <v>902</v>
      </c>
      <c r="J3" s="720"/>
      <c r="K3" s="1663"/>
    </row>
    <row r="4" spans="1:11" ht="12.75" customHeight="1">
      <c r="A4" s="1659"/>
      <c r="B4" s="1562" t="s">
        <v>903</v>
      </c>
      <c r="C4" s="1604" t="s">
        <v>1489</v>
      </c>
      <c r="D4" s="1605"/>
      <c r="E4" s="1561" t="s">
        <v>903</v>
      </c>
      <c r="F4" s="1665" t="s">
        <v>82</v>
      </c>
      <c r="G4" s="1666"/>
      <c r="H4" s="1661"/>
      <c r="I4" s="1661"/>
      <c r="J4" s="721"/>
      <c r="K4" s="1664"/>
    </row>
    <row r="5" spans="1:11">
      <c r="A5" s="1659"/>
      <c r="B5" s="1562"/>
      <c r="C5" s="1564" t="s">
        <v>759</v>
      </c>
      <c r="D5" s="1564" t="s">
        <v>904</v>
      </c>
      <c r="E5" s="1562"/>
      <c r="F5" s="1564" t="s">
        <v>759</v>
      </c>
      <c r="G5" s="1667" t="s">
        <v>904</v>
      </c>
      <c r="H5" s="1661"/>
      <c r="I5" s="1661"/>
      <c r="J5" s="721"/>
      <c r="K5" s="1664"/>
    </row>
    <row r="6" spans="1:11">
      <c r="A6" s="1660"/>
      <c r="B6" s="1563"/>
      <c r="C6" s="1566"/>
      <c r="D6" s="1566"/>
      <c r="E6" s="1563"/>
      <c r="F6" s="1566"/>
      <c r="G6" s="1668"/>
      <c r="H6" s="1662"/>
      <c r="I6" s="1662"/>
      <c r="J6" s="721"/>
      <c r="K6" s="1664"/>
    </row>
    <row r="7" spans="1:11" ht="17.25" customHeight="1">
      <c r="A7" s="722" t="s">
        <v>280</v>
      </c>
      <c r="B7" s="753"/>
      <c r="C7" s="753"/>
      <c r="D7" s="723">
        <v>2.4</v>
      </c>
      <c r="E7" s="753">
        <v>16</v>
      </c>
      <c r="F7" s="753">
        <v>13</v>
      </c>
      <c r="G7" s="724">
        <v>18</v>
      </c>
      <c r="H7" s="753"/>
      <c r="I7" s="1202"/>
      <c r="J7" s="725"/>
      <c r="K7" s="93"/>
    </row>
    <row r="8" spans="1:11" ht="17.25" customHeight="1">
      <c r="A8" s="726" t="s">
        <v>281</v>
      </c>
      <c r="B8" s="777"/>
      <c r="C8" s="537"/>
      <c r="D8" s="729"/>
      <c r="E8" s="777">
        <v>15.8</v>
      </c>
      <c r="F8" s="1203">
        <v>18.869</v>
      </c>
      <c r="G8" s="730">
        <v>8</v>
      </c>
      <c r="H8" s="777"/>
      <c r="I8" s="1204"/>
      <c r="J8" s="731"/>
      <c r="K8" s="93"/>
    </row>
    <row r="9" spans="1:11" ht="17.25" customHeight="1">
      <c r="A9" s="726" t="s">
        <v>282</v>
      </c>
      <c r="B9" s="777"/>
      <c r="C9" s="777"/>
      <c r="D9" s="732"/>
      <c r="E9" s="777">
        <v>7.8</v>
      </c>
      <c r="F9" s="1192">
        <v>3.83</v>
      </c>
      <c r="G9" s="730">
        <v>8.9</v>
      </c>
      <c r="H9" s="777"/>
      <c r="I9" s="1204"/>
      <c r="J9" s="731"/>
      <c r="K9" s="93"/>
    </row>
    <row r="10" spans="1:11" ht="17.25" customHeight="1">
      <c r="A10" s="726" t="s">
        <v>283</v>
      </c>
      <c r="B10" s="1205"/>
      <c r="C10" s="777"/>
      <c r="D10" s="732"/>
      <c r="E10" s="777">
        <v>2.8</v>
      </c>
      <c r="F10" s="777">
        <v>4.8</v>
      </c>
      <c r="G10" s="730">
        <v>2.8</v>
      </c>
      <c r="H10" s="777"/>
      <c r="I10" s="1204"/>
      <c r="J10" s="731"/>
      <c r="K10" s="93"/>
    </row>
    <row r="11" spans="1:11" ht="17.25" customHeight="1">
      <c r="A11" s="726" t="s">
        <v>284</v>
      </c>
      <c r="B11" s="1205"/>
      <c r="C11" s="777"/>
      <c r="D11" s="732"/>
      <c r="E11" s="777">
        <v>14.5</v>
      </c>
      <c r="F11" s="777">
        <v>12</v>
      </c>
      <c r="G11" s="730">
        <v>14.5</v>
      </c>
      <c r="H11" s="777"/>
      <c r="I11" s="1204"/>
      <c r="J11" s="731"/>
      <c r="K11" s="93"/>
    </row>
    <row r="12" spans="1:11" ht="17.25" customHeight="1">
      <c r="A12" s="726" t="s">
        <v>285</v>
      </c>
      <c r="B12" s="777"/>
      <c r="C12" s="777"/>
      <c r="D12" s="732"/>
      <c r="E12" s="777">
        <v>5.2</v>
      </c>
      <c r="F12" s="777">
        <v>4</v>
      </c>
      <c r="G12" s="730">
        <v>5.2</v>
      </c>
      <c r="H12" s="777"/>
      <c r="I12" s="1204"/>
      <c r="J12" s="731"/>
      <c r="K12" s="93"/>
    </row>
    <row r="13" spans="1:11" ht="17.25" customHeight="1">
      <c r="A13" s="726" t="s">
        <v>286</v>
      </c>
      <c r="B13" s="777"/>
      <c r="C13" s="777">
        <v>7990</v>
      </c>
      <c r="D13" s="732">
        <v>8850</v>
      </c>
      <c r="E13" s="777">
        <v>5.2</v>
      </c>
      <c r="F13" s="777">
        <v>9</v>
      </c>
      <c r="G13" s="730">
        <v>8</v>
      </c>
      <c r="H13" s="777"/>
      <c r="I13" s="1204"/>
      <c r="J13" s="731"/>
      <c r="K13" s="93"/>
    </row>
    <row r="14" spans="1:11" ht="17.25" customHeight="1">
      <c r="A14" s="726" t="s">
        <v>287</v>
      </c>
      <c r="B14" s="1205"/>
      <c r="C14" s="777"/>
      <c r="D14" s="732"/>
      <c r="E14" s="777">
        <v>5.0999999999999996</v>
      </c>
      <c r="F14" s="777">
        <v>3</v>
      </c>
      <c r="G14" s="730">
        <v>2.8</v>
      </c>
      <c r="H14" s="777"/>
      <c r="I14" s="1204"/>
      <c r="J14" s="731"/>
      <c r="K14" s="93"/>
    </row>
    <row r="15" spans="1:11" ht="17.25" customHeight="1">
      <c r="A15" s="726" t="s">
        <v>288</v>
      </c>
      <c r="B15" s="1205"/>
      <c r="C15" s="777"/>
      <c r="D15" s="732"/>
      <c r="E15" s="777">
        <v>3.2</v>
      </c>
      <c r="F15" s="777">
        <v>1.3</v>
      </c>
      <c r="G15" s="730">
        <v>3.1789999999999998</v>
      </c>
      <c r="H15" s="777"/>
      <c r="I15" s="1204"/>
      <c r="J15" s="731"/>
      <c r="K15" s="93"/>
    </row>
    <row r="16" spans="1:11" ht="17.25" customHeight="1">
      <c r="A16" s="726" t="s">
        <v>289</v>
      </c>
      <c r="B16" s="1205"/>
      <c r="C16" s="777">
        <v>220</v>
      </c>
      <c r="D16" s="732">
        <v>240</v>
      </c>
      <c r="E16" s="777">
        <v>70</v>
      </c>
      <c r="F16" s="777">
        <v>94.6</v>
      </c>
      <c r="G16" s="730">
        <v>70</v>
      </c>
      <c r="H16" s="777"/>
      <c r="I16" s="1204"/>
      <c r="J16" s="731"/>
      <c r="K16" s="93"/>
    </row>
    <row r="17" spans="1:13" ht="17.25" customHeight="1">
      <c r="A17" s="726" t="s">
        <v>290</v>
      </c>
      <c r="B17" s="1205"/>
      <c r="C17" s="777">
        <v>650</v>
      </c>
      <c r="D17" s="732"/>
      <c r="E17" s="777">
        <v>20</v>
      </c>
      <c r="F17" s="777">
        <v>30.5</v>
      </c>
      <c r="G17" s="730">
        <v>20.5</v>
      </c>
      <c r="H17" s="777">
        <v>0.5</v>
      </c>
      <c r="I17" s="1204"/>
      <c r="J17" s="731"/>
      <c r="K17" s="93"/>
    </row>
    <row r="18" spans="1:13" ht="17.25" customHeight="1">
      <c r="A18" s="726" t="s">
        <v>291</v>
      </c>
      <c r="B18" s="777"/>
      <c r="C18" s="777"/>
      <c r="D18" s="732">
        <v>300</v>
      </c>
      <c r="E18" s="777">
        <v>3.3</v>
      </c>
      <c r="F18" s="777">
        <v>4</v>
      </c>
      <c r="G18" s="730">
        <v>4.9000000000000004</v>
      </c>
      <c r="H18" s="777"/>
      <c r="I18" s="1204"/>
      <c r="J18" s="731"/>
      <c r="K18" s="93"/>
    </row>
    <row r="19" spans="1:13" ht="17.25" customHeight="1">
      <c r="A19" s="726" t="s">
        <v>292</v>
      </c>
      <c r="B19" s="777"/>
      <c r="C19" s="777">
        <v>3150</v>
      </c>
      <c r="D19" s="732"/>
      <c r="E19" s="777">
        <v>7</v>
      </c>
      <c r="F19" s="777">
        <v>19.7</v>
      </c>
      <c r="G19" s="730">
        <v>13.5</v>
      </c>
      <c r="H19" s="777"/>
      <c r="I19" s="1204"/>
      <c r="J19" s="731"/>
      <c r="K19" s="93"/>
    </row>
    <row r="20" spans="1:13" ht="17.25" customHeight="1">
      <c r="A20" s="734" t="s">
        <v>293</v>
      </c>
      <c r="B20" s="1164"/>
      <c r="C20" s="1164"/>
      <c r="D20" s="735">
        <v>20</v>
      </c>
      <c r="E20" s="1164">
        <v>132</v>
      </c>
      <c r="F20" s="1206">
        <v>55.1</v>
      </c>
      <c r="G20" s="736">
        <v>54.2</v>
      </c>
      <c r="H20" s="777"/>
      <c r="I20" s="1204"/>
      <c r="J20" s="731"/>
      <c r="K20" s="93"/>
    </row>
    <row r="21" spans="1:13" ht="17.25" customHeight="1">
      <c r="A21" s="726" t="s">
        <v>296</v>
      </c>
      <c r="B21" s="777">
        <f t="shared" ref="B21:H21" si="0">SUM(B7:B20)</f>
        <v>0</v>
      </c>
      <c r="C21" s="775">
        <f t="shared" si="0"/>
        <v>12010</v>
      </c>
      <c r="D21" s="777">
        <f t="shared" si="0"/>
        <v>9412.4</v>
      </c>
      <c r="E21" s="777">
        <f t="shared" si="0"/>
        <v>307.89999999999998</v>
      </c>
      <c r="F21" s="775">
        <f t="shared" si="0"/>
        <v>273.69900000000001</v>
      </c>
      <c r="G21" s="1207">
        <f t="shared" si="0"/>
        <v>234.47900000000004</v>
      </c>
      <c r="H21" s="1207">
        <f t="shared" si="0"/>
        <v>0.5</v>
      </c>
      <c r="I21" s="1204"/>
      <c r="J21" s="737"/>
      <c r="K21" s="738"/>
    </row>
    <row r="22" spans="1:13" ht="12.75" customHeight="1">
      <c r="A22" s="1671" t="s">
        <v>905</v>
      </c>
      <c r="B22" s="1672"/>
      <c r="C22" s="1673"/>
      <c r="D22" s="1673"/>
      <c r="E22" s="1579" t="s">
        <v>488</v>
      </c>
      <c r="F22" s="1579" t="s">
        <v>489</v>
      </c>
      <c r="G22" s="1579" t="s">
        <v>490</v>
      </c>
      <c r="H22" s="1587" t="s">
        <v>491</v>
      </c>
      <c r="I22" s="1662" t="s">
        <v>492</v>
      </c>
      <c r="J22" s="1669" t="s">
        <v>493</v>
      </c>
      <c r="K22" s="1670" t="s">
        <v>33</v>
      </c>
      <c r="L22" s="1514"/>
      <c r="M22" s="1514"/>
    </row>
    <row r="23" spans="1:13" ht="12.75" customHeight="1">
      <c r="A23" s="1658" t="s">
        <v>210</v>
      </c>
      <c r="B23" s="1561" t="s">
        <v>903</v>
      </c>
      <c r="C23" s="1621" t="s">
        <v>499</v>
      </c>
      <c r="D23" s="1623"/>
      <c r="E23" s="1670"/>
      <c r="F23" s="1675"/>
      <c r="G23" s="1669"/>
      <c r="H23" s="1676"/>
      <c r="I23" s="1676"/>
      <c r="J23" s="1669"/>
      <c r="K23" s="1669"/>
      <c r="L23" s="1514"/>
      <c r="M23" s="1514"/>
    </row>
    <row r="24" spans="1:13">
      <c r="A24" s="1659"/>
      <c r="B24" s="1562"/>
      <c r="C24" s="1564" t="s">
        <v>759</v>
      </c>
      <c r="D24" s="1564" t="s">
        <v>904</v>
      </c>
      <c r="E24" s="1674"/>
      <c r="F24" s="1675"/>
      <c r="G24" s="1669"/>
      <c r="H24" s="1676"/>
      <c r="I24" s="1676"/>
      <c r="J24" s="1669"/>
      <c r="K24" s="1669"/>
      <c r="L24" s="1514"/>
      <c r="M24" s="1514"/>
    </row>
    <row r="25" spans="1:13">
      <c r="A25" s="1660"/>
      <c r="B25" s="1563"/>
      <c r="C25" s="1566"/>
      <c r="D25" s="1566"/>
      <c r="E25" s="1674"/>
      <c r="F25" s="1675"/>
      <c r="G25" s="1669"/>
      <c r="H25" s="1676"/>
      <c r="I25" s="1676"/>
      <c r="J25" s="1669"/>
      <c r="K25" s="1669"/>
      <c r="L25" s="1514"/>
      <c r="M25" s="1514"/>
    </row>
    <row r="26" spans="1:13" ht="16.5" customHeight="1">
      <c r="A26" s="673" t="s">
        <v>280</v>
      </c>
      <c r="B26" s="753">
        <v>12.5</v>
      </c>
      <c r="C26" s="753">
        <f t="shared" ref="C26:C31" si="1">SUM(E26:K26)</f>
        <v>3</v>
      </c>
      <c r="D26" s="739">
        <v>14</v>
      </c>
      <c r="E26" s="1208">
        <v>1</v>
      </c>
      <c r="F26" s="293">
        <v>1</v>
      </c>
      <c r="G26" s="293"/>
      <c r="H26" s="293">
        <v>1</v>
      </c>
      <c r="I26" s="293"/>
      <c r="J26" s="699"/>
      <c r="K26" s="699"/>
      <c r="L26" s="402"/>
    </row>
    <row r="27" spans="1:13" ht="16.5" customHeight="1">
      <c r="A27" s="740" t="s">
        <v>281</v>
      </c>
      <c r="B27" s="777">
        <v>9.8000000000000007</v>
      </c>
      <c r="C27" s="1209">
        <f t="shared" si="1"/>
        <v>5.4349999999999996</v>
      </c>
      <c r="D27" s="739">
        <v>0.2</v>
      </c>
      <c r="E27" s="1208">
        <v>0.2</v>
      </c>
      <c r="F27" s="293">
        <v>1.8080000000000001</v>
      </c>
      <c r="G27" s="293">
        <v>2.4129999999999998</v>
      </c>
      <c r="H27" s="293">
        <v>8.8999999999999996E-2</v>
      </c>
      <c r="I27" s="293">
        <v>0.125</v>
      </c>
      <c r="J27" s="699">
        <v>0.2</v>
      </c>
      <c r="K27" s="699">
        <v>0.6</v>
      </c>
      <c r="L27" s="402"/>
    </row>
    <row r="28" spans="1:13" ht="16.5" customHeight="1">
      <c r="A28" s="740" t="s">
        <v>282</v>
      </c>
      <c r="B28" s="777">
        <v>4</v>
      </c>
      <c r="C28" s="1209">
        <f t="shared" si="1"/>
        <v>2.258</v>
      </c>
      <c r="D28" s="739">
        <v>6.3999999999999995</v>
      </c>
      <c r="E28" s="1208"/>
      <c r="F28" s="293">
        <v>0.92800000000000005</v>
      </c>
      <c r="G28" s="293">
        <v>0.56000000000000005</v>
      </c>
      <c r="H28" s="293">
        <v>0.18</v>
      </c>
      <c r="I28" s="293"/>
      <c r="J28" s="699">
        <v>0.18</v>
      </c>
      <c r="K28" s="699">
        <v>0.41</v>
      </c>
      <c r="L28" s="403"/>
    </row>
    <row r="29" spans="1:13" ht="16.5" customHeight="1">
      <c r="A29" s="740" t="s">
        <v>283</v>
      </c>
      <c r="B29" s="777">
        <v>1.9</v>
      </c>
      <c r="C29" s="753">
        <f t="shared" si="1"/>
        <v>2.1</v>
      </c>
      <c r="D29" s="739">
        <v>1.9000000000000001</v>
      </c>
      <c r="E29" s="293">
        <v>0.2</v>
      </c>
      <c r="F29" s="293">
        <v>0.3</v>
      </c>
      <c r="G29" s="293">
        <v>0.2</v>
      </c>
      <c r="H29" s="293">
        <v>0.4</v>
      </c>
      <c r="I29" s="293">
        <v>0.5</v>
      </c>
      <c r="J29" s="699">
        <v>0.3</v>
      </c>
      <c r="K29" s="699">
        <v>0.2</v>
      </c>
      <c r="L29" s="402"/>
    </row>
    <row r="30" spans="1:13" ht="16.5" customHeight="1">
      <c r="A30" s="740" t="s">
        <v>284</v>
      </c>
      <c r="B30" s="777">
        <v>3.4</v>
      </c>
      <c r="C30" s="764">
        <f t="shared" si="1"/>
        <v>2.5</v>
      </c>
      <c r="D30" s="739">
        <v>3.5</v>
      </c>
      <c r="E30" s="293">
        <v>0.4</v>
      </c>
      <c r="F30" s="293">
        <v>0.4</v>
      </c>
      <c r="G30" s="1208">
        <v>0.4</v>
      </c>
      <c r="H30" s="293">
        <v>0.5</v>
      </c>
      <c r="I30" s="293">
        <v>0.2</v>
      </c>
      <c r="J30" s="699">
        <v>0.1</v>
      </c>
      <c r="K30" s="699">
        <v>0.5</v>
      </c>
      <c r="L30" s="402"/>
    </row>
    <row r="31" spans="1:13" ht="16.5" customHeight="1">
      <c r="A31" s="740" t="s">
        <v>285</v>
      </c>
      <c r="B31" s="777">
        <v>0.5</v>
      </c>
      <c r="C31" s="1210">
        <f t="shared" si="1"/>
        <v>2</v>
      </c>
      <c r="D31" s="741">
        <v>0.53</v>
      </c>
      <c r="E31" s="293">
        <v>0.4</v>
      </c>
      <c r="F31" s="293">
        <v>0.5</v>
      </c>
      <c r="G31" s="293">
        <v>0.5</v>
      </c>
      <c r="H31" s="293">
        <v>0.2</v>
      </c>
      <c r="I31" s="293">
        <v>0.1</v>
      </c>
      <c r="J31" s="699">
        <v>0.3</v>
      </c>
      <c r="K31" s="699"/>
      <c r="L31" s="402"/>
    </row>
    <row r="32" spans="1:13" ht="16.5" customHeight="1">
      <c r="A32" s="740" t="s">
        <v>286</v>
      </c>
      <c r="B32" s="777">
        <v>2.8</v>
      </c>
      <c r="C32" s="764">
        <f>SUM(E32:K32)</f>
        <v>5.5</v>
      </c>
      <c r="D32" s="739">
        <v>4.99</v>
      </c>
      <c r="E32" s="293">
        <v>0.4</v>
      </c>
      <c r="F32" s="293">
        <v>0.1</v>
      </c>
      <c r="G32" s="293">
        <v>2</v>
      </c>
      <c r="H32" s="293">
        <v>1</v>
      </c>
      <c r="I32" s="293">
        <v>0.8</v>
      </c>
      <c r="J32" s="699">
        <v>0.7</v>
      </c>
      <c r="K32" s="699">
        <v>0.5</v>
      </c>
      <c r="L32" s="402"/>
    </row>
    <row r="33" spans="1:12" ht="16.5" customHeight="1">
      <c r="A33" s="726" t="s">
        <v>287</v>
      </c>
      <c r="B33" s="777">
        <v>2.9</v>
      </c>
      <c r="C33" s="753">
        <f t="shared" ref="C33:C39" si="2">SUM(E33:K33)</f>
        <v>2.7</v>
      </c>
      <c r="D33" s="739">
        <v>2.4999999999999996</v>
      </c>
      <c r="E33" s="293">
        <v>0.4</v>
      </c>
      <c r="F33" s="293">
        <v>0.4</v>
      </c>
      <c r="G33" s="293">
        <v>0.4</v>
      </c>
      <c r="H33" s="293">
        <v>0.5</v>
      </c>
      <c r="I33" s="293"/>
      <c r="J33" s="699">
        <v>0.4</v>
      </c>
      <c r="K33" s="699">
        <v>0.6</v>
      </c>
      <c r="L33" s="402"/>
    </row>
    <row r="34" spans="1:12" ht="16.5" customHeight="1">
      <c r="A34" s="726" t="s">
        <v>288</v>
      </c>
      <c r="B34" s="777">
        <v>0.5</v>
      </c>
      <c r="C34" s="753">
        <f t="shared" si="2"/>
        <v>0.5</v>
      </c>
      <c r="D34" s="739">
        <v>0.19500000000000001</v>
      </c>
      <c r="E34" s="293">
        <v>0.12</v>
      </c>
      <c r="F34" s="293">
        <v>0.16</v>
      </c>
      <c r="G34" s="293">
        <v>0.15</v>
      </c>
      <c r="H34" s="293">
        <v>0.05</v>
      </c>
      <c r="I34" s="293">
        <v>0.02</v>
      </c>
      <c r="J34" s="699"/>
      <c r="K34" s="699"/>
      <c r="L34" s="402"/>
    </row>
    <row r="35" spans="1:12" ht="16.5" customHeight="1">
      <c r="A35" s="726" t="s">
        <v>289</v>
      </c>
      <c r="B35" s="777">
        <v>3.9</v>
      </c>
      <c r="C35" s="753">
        <f t="shared" si="2"/>
        <v>5.6</v>
      </c>
      <c r="D35" s="741">
        <v>4.5999999999999996</v>
      </c>
      <c r="E35" s="1208">
        <v>1.4</v>
      </c>
      <c r="F35" s="293">
        <v>1.3</v>
      </c>
      <c r="G35" s="293">
        <v>1.3</v>
      </c>
      <c r="H35" s="293">
        <v>0.6</v>
      </c>
      <c r="I35" s="293">
        <v>0.6</v>
      </c>
      <c r="J35" s="699">
        <v>0.2</v>
      </c>
      <c r="K35" s="699">
        <v>0.2</v>
      </c>
      <c r="L35" s="402"/>
    </row>
    <row r="36" spans="1:12" ht="16.5" customHeight="1">
      <c r="A36" s="726" t="s">
        <v>290</v>
      </c>
      <c r="B36" s="777">
        <v>10.6</v>
      </c>
      <c r="C36" s="753">
        <f t="shared" si="2"/>
        <v>15.8</v>
      </c>
      <c r="D36" s="741">
        <v>18.299999999999997</v>
      </c>
      <c r="E36" s="1208">
        <v>6</v>
      </c>
      <c r="F36" s="293">
        <v>2.8</v>
      </c>
      <c r="G36" s="293">
        <v>3.2</v>
      </c>
      <c r="H36" s="293">
        <v>1.5</v>
      </c>
      <c r="I36" s="293">
        <v>1</v>
      </c>
      <c r="J36" s="699">
        <v>0.5</v>
      </c>
      <c r="K36" s="699">
        <v>0.8</v>
      </c>
      <c r="L36" s="403"/>
    </row>
    <row r="37" spans="1:12" ht="16.5" customHeight="1">
      <c r="A37" s="726" t="s">
        <v>291</v>
      </c>
      <c r="B37" s="777">
        <v>0.2</v>
      </c>
      <c r="C37" s="753">
        <f t="shared" si="2"/>
        <v>1</v>
      </c>
      <c r="D37" s="739">
        <v>1.8</v>
      </c>
      <c r="E37" s="293">
        <v>0.2</v>
      </c>
      <c r="F37" s="293">
        <v>0.1</v>
      </c>
      <c r="G37" s="293">
        <v>0.1</v>
      </c>
      <c r="H37" s="293">
        <v>0.2</v>
      </c>
      <c r="I37" s="293">
        <v>0.2</v>
      </c>
      <c r="J37" s="699">
        <v>0.1</v>
      </c>
      <c r="K37" s="699">
        <v>0.1</v>
      </c>
      <c r="L37" s="403"/>
    </row>
    <row r="38" spans="1:12" ht="16.5" customHeight="1">
      <c r="A38" s="726" t="s">
        <v>292</v>
      </c>
      <c r="B38" s="777">
        <v>2</v>
      </c>
      <c r="C38" s="753">
        <f t="shared" si="2"/>
        <v>7.8</v>
      </c>
      <c r="D38" s="739">
        <v>7.8</v>
      </c>
      <c r="E38" s="293">
        <v>1.7</v>
      </c>
      <c r="F38" s="293">
        <v>1.1000000000000001</v>
      </c>
      <c r="G38" s="293">
        <v>0.7</v>
      </c>
      <c r="H38" s="293">
        <v>2</v>
      </c>
      <c r="I38" s="293">
        <v>1.1000000000000001</v>
      </c>
      <c r="J38" s="699">
        <v>0.7</v>
      </c>
      <c r="K38" s="699">
        <v>0.5</v>
      </c>
      <c r="L38" s="402"/>
    </row>
    <row r="39" spans="1:12" ht="16.5" customHeight="1">
      <c r="A39" s="740" t="s">
        <v>293</v>
      </c>
      <c r="B39" s="777">
        <v>98</v>
      </c>
      <c r="C39" s="1188">
        <f t="shared" si="2"/>
        <v>32.355999999999995</v>
      </c>
      <c r="D39" s="741">
        <v>61.900000000000006</v>
      </c>
      <c r="E39" s="1211">
        <v>6.5309999999999997</v>
      </c>
      <c r="F39" s="293">
        <v>4.97</v>
      </c>
      <c r="G39" s="293">
        <v>5.8170000000000002</v>
      </c>
      <c r="H39" s="1166">
        <v>4.38</v>
      </c>
      <c r="I39" s="1166">
        <v>3.51</v>
      </c>
      <c r="J39" s="1212">
        <v>3.9580000000000002</v>
      </c>
      <c r="K39" s="1213">
        <v>3.19</v>
      </c>
      <c r="L39" s="403"/>
    </row>
    <row r="40" spans="1:12" ht="16.5" customHeight="1">
      <c r="A40" s="740" t="s">
        <v>296</v>
      </c>
      <c r="B40" s="777">
        <f>SUM(B26:B39)</f>
        <v>153</v>
      </c>
      <c r="C40" s="774">
        <f>SUM(C26:C39)</f>
        <v>88.548999999999992</v>
      </c>
      <c r="D40" s="1192">
        <v>138.13999999999999</v>
      </c>
      <c r="E40" s="1204">
        <f t="shared" ref="E40:K40" si="3">SUM(E26:E39)</f>
        <v>18.950999999999997</v>
      </c>
      <c r="F40" s="1204">
        <f t="shared" si="3"/>
        <v>15.866</v>
      </c>
      <c r="G40" s="1204">
        <f t="shared" si="3"/>
        <v>17.740000000000002</v>
      </c>
      <c r="H40" s="1204">
        <f t="shared" si="3"/>
        <v>12.599</v>
      </c>
      <c r="I40" s="1204">
        <f t="shared" si="3"/>
        <v>8.1550000000000011</v>
      </c>
      <c r="J40" s="1204">
        <f t="shared" si="3"/>
        <v>7.6379999999999999</v>
      </c>
      <c r="K40" s="1204">
        <f t="shared" si="3"/>
        <v>7.6</v>
      </c>
      <c r="L40" s="404"/>
    </row>
    <row r="48" spans="1:12">
      <c r="A48" s="1514">
        <v>47</v>
      </c>
      <c r="B48" s="1514"/>
      <c r="C48" s="1514"/>
      <c r="D48" s="1514"/>
      <c r="E48" s="1514"/>
      <c r="F48" s="1514"/>
      <c r="G48" s="1514"/>
      <c r="H48" s="1514"/>
      <c r="I48" s="1514"/>
      <c r="J48" s="1514"/>
      <c r="K48" s="1514"/>
    </row>
  </sheetData>
  <mergeCells count="31">
    <mergeCell ref="M22:M25"/>
    <mergeCell ref="A23:A25"/>
    <mergeCell ref="B23:B25"/>
    <mergeCell ref="C23:D23"/>
    <mergeCell ref="C24:C25"/>
    <mergeCell ref="D24:D25"/>
    <mergeCell ref="I22:I25"/>
    <mergeCell ref="A48:K48"/>
    <mergeCell ref="J22:J25"/>
    <mergeCell ref="K22:K25"/>
    <mergeCell ref="L22:L25"/>
    <mergeCell ref="A22:D22"/>
    <mergeCell ref="E22:E25"/>
    <mergeCell ref="F22:F25"/>
    <mergeCell ref="G22:G25"/>
    <mergeCell ref="H22:H25"/>
    <mergeCell ref="K3:K6"/>
    <mergeCell ref="B4:B6"/>
    <mergeCell ref="E4:E6"/>
    <mergeCell ref="F4:G4"/>
    <mergeCell ref="C5:C6"/>
    <mergeCell ref="D5:D6"/>
    <mergeCell ref="F5:F6"/>
    <mergeCell ref="G5:G6"/>
    <mergeCell ref="C4:D4"/>
    <mergeCell ref="A1:I1"/>
    <mergeCell ref="A3:A6"/>
    <mergeCell ref="C3:D3"/>
    <mergeCell ref="E3:G3"/>
    <mergeCell ref="H3:H6"/>
    <mergeCell ref="I3:I6"/>
  </mergeCells>
  <pageMargins left="0.7" right="0.7" top="0.55000000000000004" bottom="0.52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43"/>
  <sheetViews>
    <sheetView workbookViewId="0">
      <selection activeCell="A44" sqref="A44"/>
    </sheetView>
  </sheetViews>
  <sheetFormatPr defaultRowHeight="12.75"/>
  <cols>
    <col min="1" max="1" width="13.140625" style="279" customWidth="1"/>
    <col min="2" max="12" width="7.28515625" style="279" customWidth="1"/>
    <col min="13" max="16384" width="9.140625" style="279"/>
  </cols>
  <sheetData>
    <row r="1" spans="1:12" ht="17.25" customHeight="1">
      <c r="A1" s="1539" t="s">
        <v>1393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</row>
    <row r="2" spans="1:12" ht="15">
      <c r="J2" s="405"/>
      <c r="K2" s="1677" t="s">
        <v>1</v>
      </c>
      <c r="L2" s="1677"/>
    </row>
    <row r="3" spans="1:12">
      <c r="A3" s="1504"/>
      <c r="B3" s="1500" t="s">
        <v>72</v>
      </c>
      <c r="C3" s="1500"/>
      <c r="D3" s="1500"/>
      <c r="E3" s="1500"/>
      <c r="F3" s="1500"/>
      <c r="G3" s="1500"/>
      <c r="H3" s="1500"/>
      <c r="I3" s="1500"/>
      <c r="J3" s="1500"/>
      <c r="K3" s="1500"/>
      <c r="L3" s="1500"/>
    </row>
    <row r="4" spans="1:12">
      <c r="A4" s="1504"/>
      <c r="B4" s="282">
        <v>2002</v>
      </c>
      <c r="C4" s="282">
        <v>2003</v>
      </c>
      <c r="D4" s="282">
        <v>2004</v>
      </c>
      <c r="E4" s="282">
        <v>2005</v>
      </c>
      <c r="F4" s="282">
        <v>2006</v>
      </c>
      <c r="G4" s="282">
        <v>2007</v>
      </c>
      <c r="H4" s="300">
        <v>2008</v>
      </c>
      <c r="I4" s="300">
        <v>2009</v>
      </c>
      <c r="J4" s="282">
        <v>2010</v>
      </c>
      <c r="K4" s="282">
        <v>2011</v>
      </c>
      <c r="L4" s="282">
        <v>2012</v>
      </c>
    </row>
    <row r="5" spans="1:12" ht="17.25" customHeight="1">
      <c r="A5" s="407" t="s">
        <v>280</v>
      </c>
      <c r="B5" s="375">
        <v>120.38461538461539</v>
      </c>
      <c r="C5" s="375">
        <v>97.073170731707307</v>
      </c>
      <c r="D5" s="375">
        <v>10.621468926553671</v>
      </c>
      <c r="E5" s="375">
        <v>24.010695187165773</v>
      </c>
      <c r="F5" s="375">
        <v>77.283950617283949</v>
      </c>
      <c r="G5" s="375">
        <v>81.384615384615387</v>
      </c>
      <c r="H5" s="375">
        <v>84</v>
      </c>
      <c r="I5" s="375">
        <v>97.978723404255305</v>
      </c>
      <c r="J5" s="365">
        <v>113.6</v>
      </c>
      <c r="K5" s="365">
        <v>42.8</v>
      </c>
      <c r="L5" s="301">
        <v>61.53846153846154</v>
      </c>
    </row>
    <row r="6" spans="1:12" ht="17.25" customHeight="1">
      <c r="A6" s="407" t="s">
        <v>281</v>
      </c>
      <c r="B6" s="375">
        <v>120.66666666666669</v>
      </c>
      <c r="C6" s="375">
        <v>84.946236559139777</v>
      </c>
      <c r="D6" s="375">
        <v>90</v>
      </c>
      <c r="E6" s="375">
        <v>36.590163934426229</v>
      </c>
      <c r="F6" s="375">
        <v>97.472527472527474</v>
      </c>
      <c r="G6" s="375">
        <v>75.306122448979579</v>
      </c>
      <c r="H6" s="375">
        <v>69.408602150537618</v>
      </c>
      <c r="I6" s="375">
        <v>95</v>
      </c>
      <c r="J6" s="365">
        <v>157.80000000000001</v>
      </c>
      <c r="K6" s="365">
        <v>105.6</v>
      </c>
      <c r="L6" s="301">
        <v>103.9056703762586</v>
      </c>
    </row>
    <row r="7" spans="1:12" ht="17.25" customHeight="1">
      <c r="A7" s="407" t="s">
        <v>282</v>
      </c>
      <c r="B7" s="375">
        <v>13.478260869565217</v>
      </c>
      <c r="C7" s="375">
        <v>24.294234592445328</v>
      </c>
      <c r="D7" s="375">
        <v>5</v>
      </c>
      <c r="E7" s="375">
        <v>11.6</v>
      </c>
      <c r="F7" s="375">
        <v>74</v>
      </c>
      <c r="G7" s="375">
        <v>58.4</v>
      </c>
      <c r="H7" s="375">
        <v>70.400000000000006</v>
      </c>
      <c r="I7" s="375">
        <v>83.125</v>
      </c>
      <c r="J7" s="365">
        <v>5.4</v>
      </c>
      <c r="K7" s="365">
        <v>64.900000000000006</v>
      </c>
      <c r="L7" s="301">
        <v>90.078328981723232</v>
      </c>
    </row>
    <row r="8" spans="1:12" ht="17.25" customHeight="1">
      <c r="A8" s="407" t="s">
        <v>283</v>
      </c>
      <c r="B8" s="375">
        <v>92</v>
      </c>
      <c r="C8" s="375">
        <v>40</v>
      </c>
      <c r="D8" s="375">
        <v>18.666666666666664</v>
      </c>
      <c r="E8" s="375">
        <v>10</v>
      </c>
      <c r="F8" s="375">
        <v>79.428571428571431</v>
      </c>
      <c r="G8" s="375">
        <v>68.222222222222214</v>
      </c>
      <c r="H8" s="375">
        <v>70</v>
      </c>
      <c r="I8" s="375">
        <v>85.5</v>
      </c>
      <c r="J8" s="365">
        <v>42.2</v>
      </c>
      <c r="K8" s="365">
        <v>25.4</v>
      </c>
      <c r="L8" s="301">
        <v>85.416666666666686</v>
      </c>
    </row>
    <row r="9" spans="1:12" ht="17.25" customHeight="1">
      <c r="A9" s="407" t="s">
        <v>284</v>
      </c>
      <c r="B9" s="375">
        <v>33.846153846153847</v>
      </c>
      <c r="C9" s="375">
        <v>60</v>
      </c>
      <c r="D9" s="375">
        <v>11.666666666666668</v>
      </c>
      <c r="E9" s="375">
        <v>19.298245614035089</v>
      </c>
      <c r="F9" s="375">
        <v>100.38461538461539</v>
      </c>
      <c r="G9" s="375">
        <v>85.625</v>
      </c>
      <c r="H9" s="375">
        <v>60.819672131147549</v>
      </c>
      <c r="I9" s="375">
        <v>87.142857142857139</v>
      </c>
      <c r="J9" s="365">
        <v>45.6</v>
      </c>
      <c r="K9" s="375">
        <v>70</v>
      </c>
      <c r="L9" s="301">
        <v>96</v>
      </c>
    </row>
    <row r="10" spans="1:12" ht="17.25" customHeight="1">
      <c r="A10" s="407" t="s">
        <v>285</v>
      </c>
      <c r="B10" s="375">
        <v>3</v>
      </c>
      <c r="C10" s="375"/>
      <c r="D10" s="375"/>
      <c r="E10" s="375">
        <v>80</v>
      </c>
      <c r="F10" s="375">
        <v>83.333333333333343</v>
      </c>
      <c r="G10" s="375">
        <v>65</v>
      </c>
      <c r="H10" s="375">
        <v>66</v>
      </c>
      <c r="I10" s="375">
        <v>70</v>
      </c>
      <c r="J10" s="375">
        <v>8</v>
      </c>
      <c r="K10" s="375">
        <v>30</v>
      </c>
      <c r="L10" s="301">
        <v>47.5</v>
      </c>
    </row>
    <row r="11" spans="1:12" ht="17.25" customHeight="1">
      <c r="A11" s="407" t="s">
        <v>286</v>
      </c>
      <c r="B11" s="375">
        <v>22.222222222222221</v>
      </c>
      <c r="C11" s="375">
        <v>92.5</v>
      </c>
      <c r="D11" s="375">
        <v>83.333333333333343</v>
      </c>
      <c r="E11" s="375">
        <v>38</v>
      </c>
      <c r="F11" s="375">
        <v>34.384615384615387</v>
      </c>
      <c r="G11" s="375">
        <v>78.07692307692308</v>
      </c>
      <c r="H11" s="375">
        <v>82.1</v>
      </c>
      <c r="I11" s="375">
        <v>95.2</v>
      </c>
      <c r="J11" s="365">
        <v>23.6</v>
      </c>
      <c r="K11" s="365">
        <v>93.1</v>
      </c>
      <c r="L11" s="301">
        <v>82</v>
      </c>
    </row>
    <row r="12" spans="1:12" ht="17.25" customHeight="1">
      <c r="A12" s="407" t="s">
        <v>287</v>
      </c>
      <c r="B12" s="375">
        <v>7.5</v>
      </c>
      <c r="C12" s="375">
        <v>74</v>
      </c>
      <c r="D12" s="375">
        <v>50</v>
      </c>
      <c r="E12" s="375">
        <v>17.5</v>
      </c>
      <c r="F12" s="375">
        <v>78.400000000000006</v>
      </c>
      <c r="G12" s="375">
        <v>65</v>
      </c>
      <c r="H12" s="375">
        <v>80.588235294117652</v>
      </c>
      <c r="I12" s="375">
        <v>91.764705882352928</v>
      </c>
      <c r="J12" s="365">
        <v>20.5</v>
      </c>
      <c r="K12" s="365">
        <v>115.7</v>
      </c>
      <c r="L12" s="301">
        <v>66.666666666666671</v>
      </c>
    </row>
    <row r="13" spans="1:12" ht="17.25" customHeight="1">
      <c r="A13" s="407" t="s">
        <v>288</v>
      </c>
      <c r="B13" s="375">
        <v>57.777777777777779</v>
      </c>
      <c r="C13" s="375">
        <v>80</v>
      </c>
      <c r="D13" s="375">
        <v>6</v>
      </c>
      <c r="E13" s="375">
        <v>40</v>
      </c>
      <c r="F13" s="375">
        <v>90</v>
      </c>
      <c r="G13" s="375">
        <v>70</v>
      </c>
      <c r="H13" s="375">
        <v>68.666666666666671</v>
      </c>
      <c r="I13" s="375">
        <v>76</v>
      </c>
      <c r="J13" s="375">
        <v>14</v>
      </c>
      <c r="K13" s="365">
        <v>76.599999999999994</v>
      </c>
      <c r="L13" s="301">
        <v>92.307692307692292</v>
      </c>
    </row>
    <row r="14" spans="1:12" ht="17.25" customHeight="1">
      <c r="A14" s="407" t="s">
        <v>71</v>
      </c>
      <c r="B14" s="375">
        <v>64.945054945054949</v>
      </c>
      <c r="C14" s="375">
        <v>39.666666666666671</v>
      </c>
      <c r="D14" s="375">
        <v>24.733333333333334</v>
      </c>
      <c r="E14" s="375">
        <v>50</v>
      </c>
      <c r="F14" s="375">
        <v>77.234042553191486</v>
      </c>
      <c r="G14" s="375">
        <v>61.492063492063487</v>
      </c>
      <c r="H14" s="375">
        <v>57.784615384615385</v>
      </c>
      <c r="I14" s="375">
        <v>108.35820895522389</v>
      </c>
      <c r="J14" s="375">
        <v>135</v>
      </c>
      <c r="K14" s="375">
        <v>130</v>
      </c>
      <c r="L14" s="301">
        <v>123.99577167019029</v>
      </c>
    </row>
    <row r="15" spans="1:12" ht="17.25" customHeight="1">
      <c r="A15" s="407" t="s">
        <v>87</v>
      </c>
      <c r="B15" s="375">
        <v>63.921568627450981</v>
      </c>
      <c r="C15" s="375">
        <v>87.390029325513183</v>
      </c>
      <c r="D15" s="375">
        <v>42.028571428571425</v>
      </c>
      <c r="E15" s="375">
        <v>170.55555555555557</v>
      </c>
      <c r="F15" s="375">
        <v>130.43478260869566</v>
      </c>
      <c r="G15" s="375">
        <v>81.284046692607021</v>
      </c>
      <c r="H15" s="375">
        <v>55.197530864197539</v>
      </c>
      <c r="I15" s="375">
        <v>39.86013986013986</v>
      </c>
      <c r="J15" s="365">
        <v>35.9</v>
      </c>
      <c r="K15" s="365">
        <v>59.5</v>
      </c>
      <c r="L15" s="301">
        <v>187.01639344262293</v>
      </c>
    </row>
    <row r="16" spans="1:12" ht="17.25" customHeight="1">
      <c r="A16" s="407" t="s">
        <v>291</v>
      </c>
      <c r="B16" s="375">
        <v>44</v>
      </c>
      <c r="C16" s="375">
        <v>22</v>
      </c>
      <c r="D16" s="375">
        <v>65</v>
      </c>
      <c r="E16" s="375">
        <v>9.1666666666666679</v>
      </c>
      <c r="F16" s="375">
        <v>76.333333333333329</v>
      </c>
      <c r="G16" s="375">
        <v>0</v>
      </c>
      <c r="H16" s="375">
        <v>70</v>
      </c>
      <c r="I16" s="375">
        <v>78.285714285714278</v>
      </c>
      <c r="J16" s="375">
        <v>26</v>
      </c>
      <c r="K16" s="365">
        <v>8.1999999999999993</v>
      </c>
      <c r="L16" s="301">
        <v>47.5</v>
      </c>
    </row>
    <row r="17" spans="1:12" ht="17.25" customHeight="1">
      <c r="A17" s="407" t="s">
        <v>292</v>
      </c>
      <c r="B17" s="375">
        <v>55</v>
      </c>
      <c r="C17" s="375">
        <v>30.76923076923077</v>
      </c>
      <c r="D17" s="375">
        <v>77.222222222222229</v>
      </c>
      <c r="E17" s="375">
        <v>9.454545454545455</v>
      </c>
      <c r="F17" s="375">
        <v>84.897959183673478</v>
      </c>
      <c r="G17" s="375">
        <v>80</v>
      </c>
      <c r="H17" s="375">
        <v>89.2</v>
      </c>
      <c r="I17" s="375">
        <v>105</v>
      </c>
      <c r="J17" s="365">
        <v>126.1</v>
      </c>
      <c r="K17" s="365">
        <v>59.1</v>
      </c>
      <c r="L17" s="301">
        <v>45.634517766497467</v>
      </c>
    </row>
    <row r="18" spans="1:12" ht="17.25" customHeight="1">
      <c r="A18" s="407" t="s">
        <v>293</v>
      </c>
      <c r="B18" s="375">
        <v>70</v>
      </c>
      <c r="C18" s="375">
        <v>76.971326164874554</v>
      </c>
      <c r="D18" s="375">
        <v>69.818181818181813</v>
      </c>
      <c r="E18" s="375">
        <v>70.030895983522157</v>
      </c>
      <c r="F18" s="375">
        <v>70</v>
      </c>
      <c r="G18" s="375">
        <v>79.495049504950487</v>
      </c>
      <c r="H18" s="375">
        <v>63.394664213431462</v>
      </c>
      <c r="I18" s="375">
        <v>93.861892583120209</v>
      </c>
      <c r="J18" s="365">
        <v>94.2</v>
      </c>
      <c r="K18" s="365">
        <v>102.7</v>
      </c>
      <c r="L18" s="301">
        <v>113.51508120649653</v>
      </c>
    </row>
    <row r="19" spans="1:12" ht="17.25" customHeight="1">
      <c r="A19" s="282" t="s">
        <v>269</v>
      </c>
      <c r="B19" s="375">
        <v>61.317941317941312</v>
      </c>
      <c r="C19" s="375">
        <v>65.899336714787353</v>
      </c>
      <c r="D19" s="375">
        <v>55.550074000986683</v>
      </c>
      <c r="E19" s="375">
        <v>58.163471241170541</v>
      </c>
      <c r="F19" s="375">
        <v>78.029273392577096</v>
      </c>
      <c r="G19" s="375">
        <v>75.404804270462634</v>
      </c>
      <c r="H19" s="375">
        <v>62.862203329791015</v>
      </c>
      <c r="I19" s="375">
        <v>88.726909635546676</v>
      </c>
      <c r="J19" s="375">
        <v>95</v>
      </c>
      <c r="K19" s="365">
        <v>91.7</v>
      </c>
      <c r="L19" s="301">
        <v>112.12525895235279</v>
      </c>
    </row>
    <row r="20" spans="1:12" ht="17.25" customHeight="1"/>
    <row r="21" spans="1:12" ht="17.25" customHeight="1">
      <c r="A21" s="1504"/>
      <c r="B21" s="1500" t="s">
        <v>73</v>
      </c>
      <c r="C21" s="1500"/>
      <c r="D21" s="1500"/>
      <c r="E21" s="1500"/>
      <c r="F21" s="1500"/>
      <c r="G21" s="1500"/>
      <c r="H21" s="1500"/>
      <c r="I21" s="1500"/>
      <c r="J21" s="1500"/>
      <c r="K21" s="1500"/>
      <c r="L21" s="1500"/>
    </row>
    <row r="22" spans="1:12" ht="17.25" customHeight="1">
      <c r="A22" s="1504"/>
      <c r="B22" s="282">
        <v>2002</v>
      </c>
      <c r="C22" s="282">
        <v>2003</v>
      </c>
      <c r="D22" s="282">
        <v>2004</v>
      </c>
      <c r="E22" s="282">
        <v>2005</v>
      </c>
      <c r="F22" s="282">
        <v>2006</v>
      </c>
      <c r="G22" s="282">
        <v>2007</v>
      </c>
      <c r="H22" s="300">
        <v>2008</v>
      </c>
      <c r="I22" s="300">
        <v>2009</v>
      </c>
      <c r="J22" s="282">
        <v>2010</v>
      </c>
      <c r="K22" s="282">
        <v>2011</v>
      </c>
      <c r="L22" s="282">
        <v>2012</v>
      </c>
    </row>
    <row r="23" spans="1:12" ht="17.25" customHeight="1">
      <c r="A23" s="407" t="s">
        <v>280</v>
      </c>
      <c r="B23" s="375">
        <v>130.83333333333334</v>
      </c>
      <c r="C23" s="375">
        <v>115.07692307692308</v>
      </c>
      <c r="D23" s="375">
        <v>77.164179104477611</v>
      </c>
      <c r="E23" s="375">
        <v>89.029850746268664</v>
      </c>
      <c r="F23" s="375">
        <v>33.464566929133859</v>
      </c>
      <c r="G23" s="375">
        <v>90</v>
      </c>
      <c r="H23" s="375">
        <v>76.782608695652172</v>
      </c>
      <c r="I23" s="375">
        <v>104.10526315789474</v>
      </c>
      <c r="J23" s="365">
        <v>121.2</v>
      </c>
      <c r="K23" s="365">
        <v>80.5</v>
      </c>
      <c r="L23" s="301">
        <v>58.333333333333329</v>
      </c>
    </row>
    <row r="24" spans="1:12" ht="17.25" customHeight="1">
      <c r="A24" s="407" t="s">
        <v>281</v>
      </c>
      <c r="B24" s="375">
        <v>146.95121951219514</v>
      </c>
      <c r="C24" s="375">
        <v>80</v>
      </c>
      <c r="D24" s="375">
        <v>219.6</v>
      </c>
      <c r="E24" s="375">
        <v>85.3125</v>
      </c>
      <c r="F24" s="375">
        <v>88.467153284671539</v>
      </c>
      <c r="G24" s="375">
        <v>78.461538461538467</v>
      </c>
      <c r="H24" s="375">
        <v>70.077519379844958</v>
      </c>
      <c r="I24" s="375">
        <v>116</v>
      </c>
      <c r="J24" s="375">
        <v>131</v>
      </c>
      <c r="K24" s="375">
        <v>120</v>
      </c>
      <c r="L24" s="301">
        <v>55.749770009199644</v>
      </c>
    </row>
    <row r="25" spans="1:12" ht="17.25" customHeight="1">
      <c r="A25" s="407" t="s">
        <v>282</v>
      </c>
      <c r="B25" s="375">
        <v>136.66666666666666</v>
      </c>
      <c r="C25" s="375">
        <v>30.333333333333332</v>
      </c>
      <c r="D25" s="375">
        <v>7.5</v>
      </c>
      <c r="E25" s="375">
        <v>23.20754716981132</v>
      </c>
      <c r="F25" s="375">
        <v>76.428571428571431</v>
      </c>
      <c r="G25" s="375">
        <v>57.333333333333336</v>
      </c>
      <c r="H25" s="375">
        <v>76</v>
      </c>
      <c r="I25" s="375">
        <v>80</v>
      </c>
      <c r="J25" s="365">
        <v>18.8</v>
      </c>
      <c r="K25" s="375">
        <v>70</v>
      </c>
      <c r="L25" s="301">
        <v>94.690265486725664</v>
      </c>
    </row>
    <row r="26" spans="1:12" ht="17.25" customHeight="1">
      <c r="A26" s="407" t="s">
        <v>283</v>
      </c>
      <c r="B26" s="375">
        <v>32</v>
      </c>
      <c r="C26" s="375">
        <v>25</v>
      </c>
      <c r="D26" s="375">
        <v>11.5</v>
      </c>
      <c r="E26" s="375">
        <v>7.9104477611940291</v>
      </c>
      <c r="F26" s="375">
        <v>79.047619047619051</v>
      </c>
      <c r="G26" s="375">
        <v>76.428571428571431</v>
      </c>
      <c r="H26" s="375">
        <v>74.615384615384613</v>
      </c>
      <c r="I26" s="375">
        <v>81.333333333333329</v>
      </c>
      <c r="J26" s="365">
        <v>34.4</v>
      </c>
      <c r="K26" s="365">
        <v>16.8</v>
      </c>
      <c r="L26" s="301">
        <v>84.905660377358487</v>
      </c>
    </row>
    <row r="27" spans="1:12" ht="17.25" customHeight="1">
      <c r="A27" s="407" t="s">
        <v>284</v>
      </c>
      <c r="B27" s="375">
        <v>89.230769230769226</v>
      </c>
      <c r="C27" s="375">
        <v>93.75</v>
      </c>
      <c r="D27" s="375">
        <v>30</v>
      </c>
      <c r="E27" s="375">
        <v>7.0270270270270272</v>
      </c>
      <c r="F27" s="375">
        <v>90.285714285714278</v>
      </c>
      <c r="G27" s="375">
        <v>84</v>
      </c>
      <c r="H27" s="375">
        <v>64.705882352941174</v>
      </c>
      <c r="I27" s="375">
        <v>79.333333333333343</v>
      </c>
      <c r="J27" s="365">
        <v>68.2</v>
      </c>
      <c r="K27" s="375">
        <v>38</v>
      </c>
      <c r="L27" s="301">
        <v>100</v>
      </c>
    </row>
    <row r="28" spans="1:12" ht="17.25" customHeight="1">
      <c r="A28" s="407" t="s">
        <v>285</v>
      </c>
      <c r="B28" s="375"/>
      <c r="C28" s="375"/>
      <c r="D28" s="375"/>
      <c r="E28" s="375">
        <v>6.6666666666666679</v>
      </c>
      <c r="F28" s="375">
        <v>84</v>
      </c>
      <c r="G28" s="375">
        <v>74</v>
      </c>
      <c r="H28" s="375">
        <v>70</v>
      </c>
      <c r="I28" s="375">
        <v>75</v>
      </c>
      <c r="J28" s="375">
        <v>15</v>
      </c>
      <c r="K28" s="365">
        <v>106.7</v>
      </c>
      <c r="L28" s="301">
        <v>50</v>
      </c>
    </row>
    <row r="29" spans="1:12" ht="17.25" customHeight="1">
      <c r="A29" s="407" t="s">
        <v>286</v>
      </c>
      <c r="B29" s="375">
        <v>20.833333333333336</v>
      </c>
      <c r="C29" s="375">
        <v>8.75</v>
      </c>
      <c r="D29" s="375">
        <v>80</v>
      </c>
      <c r="E29" s="375">
        <v>12.380952380952381</v>
      </c>
      <c r="F29" s="375">
        <v>110.2</v>
      </c>
      <c r="G29" s="375">
        <v>90.2</v>
      </c>
      <c r="H29" s="375">
        <v>86</v>
      </c>
      <c r="I29" s="375">
        <v>104.13333333333333</v>
      </c>
      <c r="J29" s="375">
        <v>10</v>
      </c>
      <c r="K29" s="375">
        <v>87</v>
      </c>
      <c r="L29" s="301">
        <v>81.090909090909093</v>
      </c>
    </row>
    <row r="30" spans="1:12" ht="17.25" customHeight="1">
      <c r="A30" s="407" t="s">
        <v>287</v>
      </c>
      <c r="B30" s="375">
        <v>55.6</v>
      </c>
      <c r="C30" s="375">
        <v>125</v>
      </c>
      <c r="D30" s="375">
        <v>43</v>
      </c>
      <c r="E30" s="375">
        <v>5.774647887323944</v>
      </c>
      <c r="F30" s="375">
        <v>79.84615384615384</v>
      </c>
      <c r="G30" s="375">
        <v>65.172413793103445</v>
      </c>
      <c r="H30" s="375">
        <v>58.75</v>
      </c>
      <c r="I30" s="375">
        <v>81.428571428571445</v>
      </c>
      <c r="J30" s="375">
        <v>32</v>
      </c>
      <c r="K30" s="375">
        <v>137</v>
      </c>
      <c r="L30" s="301">
        <v>62.962962962962962</v>
      </c>
    </row>
    <row r="31" spans="1:12" ht="17.25" customHeight="1">
      <c r="A31" s="407" t="s">
        <v>288</v>
      </c>
      <c r="B31" s="375">
        <v>44.848484848484851</v>
      </c>
      <c r="C31" s="375"/>
      <c r="D31" s="375">
        <v>100</v>
      </c>
      <c r="E31" s="375">
        <v>10</v>
      </c>
      <c r="F31" s="375">
        <v>76.31578947368422</v>
      </c>
      <c r="G31" s="375">
        <v>70</v>
      </c>
      <c r="H31" s="375">
        <v>65</v>
      </c>
      <c r="I31" s="375">
        <v>79.285714285714292</v>
      </c>
      <c r="J31" s="365">
        <v>4.0999999999999996</v>
      </c>
      <c r="K31" s="375">
        <v>185</v>
      </c>
      <c r="L31" s="301">
        <v>64</v>
      </c>
    </row>
    <row r="32" spans="1:12" ht="17.25" customHeight="1">
      <c r="A32" s="407" t="s">
        <v>71</v>
      </c>
      <c r="B32" s="375">
        <v>80</v>
      </c>
      <c r="C32" s="375">
        <v>130</v>
      </c>
      <c r="D32" s="375">
        <v>29.268292682926834</v>
      </c>
      <c r="E32" s="375">
        <v>3.9285714285714279</v>
      </c>
      <c r="F32" s="375">
        <v>79.5</v>
      </c>
      <c r="G32" s="375">
        <v>78.571428571428569</v>
      </c>
      <c r="H32" s="375">
        <v>76</v>
      </c>
      <c r="I32" s="375">
        <v>85.2</v>
      </c>
      <c r="J32" s="365">
        <v>27.3</v>
      </c>
      <c r="K32" s="365">
        <v>82.6</v>
      </c>
      <c r="L32" s="301">
        <v>68.035714285714292</v>
      </c>
    </row>
    <row r="33" spans="1:12" ht="17.25" customHeight="1">
      <c r="A33" s="407" t="s">
        <v>87</v>
      </c>
      <c r="B33" s="375">
        <v>214.31034482758619</v>
      </c>
      <c r="C33" s="375">
        <v>151.5</v>
      </c>
      <c r="D33" s="375">
        <v>87.555555555555543</v>
      </c>
      <c r="E33" s="375">
        <v>198.66666666666669</v>
      </c>
      <c r="F33" s="375">
        <v>130.54545454545456</v>
      </c>
      <c r="G33" s="375">
        <v>84</v>
      </c>
      <c r="H33" s="375">
        <v>65.695067264573993</v>
      </c>
      <c r="I33" s="375">
        <v>120</v>
      </c>
      <c r="J33" s="365">
        <v>222.7</v>
      </c>
      <c r="K33" s="365">
        <v>22.9</v>
      </c>
      <c r="L33" s="301">
        <v>130.18987341772151</v>
      </c>
    </row>
    <row r="34" spans="1:12" ht="17.25" customHeight="1">
      <c r="A34" s="407" t="s">
        <v>291</v>
      </c>
      <c r="B34" s="375">
        <v>30</v>
      </c>
      <c r="C34" s="375">
        <v>14.285714285714286</v>
      </c>
      <c r="D34" s="375">
        <v>101.66666666666666</v>
      </c>
      <c r="E34" s="375">
        <v>9.1111111111111107</v>
      </c>
      <c r="F34" s="375">
        <v>81.111111111111114</v>
      </c>
      <c r="G34" s="375">
        <v>74.333333333333343</v>
      </c>
      <c r="H34" s="375">
        <v>73.636363636363626</v>
      </c>
      <c r="I34" s="375">
        <v>73.333333333333329</v>
      </c>
      <c r="J34" s="365">
        <v>20.8</v>
      </c>
      <c r="K34" s="365">
        <v>32.799999999999997</v>
      </c>
      <c r="L34" s="301">
        <v>90</v>
      </c>
    </row>
    <row r="35" spans="1:12" ht="17.25" customHeight="1">
      <c r="A35" s="407" t="s">
        <v>292</v>
      </c>
      <c r="B35" s="375">
        <v>45.294117647058826</v>
      </c>
      <c r="C35" s="375">
        <v>44.444444444444443</v>
      </c>
      <c r="D35" s="375">
        <v>28.18181818181818</v>
      </c>
      <c r="E35" s="375">
        <v>10.666666666666666</v>
      </c>
      <c r="F35" s="375">
        <v>80.952380952380949</v>
      </c>
      <c r="G35" s="375">
        <v>85.333333333333329</v>
      </c>
      <c r="H35" s="375">
        <v>86.4</v>
      </c>
      <c r="I35" s="375">
        <v>103.14285714285715</v>
      </c>
      <c r="J35" s="375">
        <v>47</v>
      </c>
      <c r="K35" s="375">
        <v>17</v>
      </c>
      <c r="L35" s="301">
        <v>25.128205128205131</v>
      </c>
    </row>
    <row r="36" spans="1:12" ht="17.25" customHeight="1">
      <c r="A36" s="407" t="s">
        <v>293</v>
      </c>
      <c r="B36" s="375">
        <v>60</v>
      </c>
      <c r="C36" s="375">
        <v>87.372262773722639</v>
      </c>
      <c r="D36" s="375">
        <v>76.5625</v>
      </c>
      <c r="E36" s="375">
        <v>55.052264808362366</v>
      </c>
      <c r="F36" s="375">
        <v>54.933333333333337</v>
      </c>
      <c r="G36" s="375">
        <v>83.415384615384625</v>
      </c>
      <c r="H36" s="375">
        <v>68.098720292504566</v>
      </c>
      <c r="I36" s="375">
        <v>96.1</v>
      </c>
      <c r="J36" s="365">
        <v>67.3</v>
      </c>
      <c r="K36" s="365">
        <v>87.8</v>
      </c>
      <c r="L36" s="301">
        <v>98.667591950034691</v>
      </c>
    </row>
    <row r="37" spans="1:12" ht="17.25" customHeight="1">
      <c r="A37" s="281" t="s">
        <v>269</v>
      </c>
      <c r="B37" s="375">
        <v>92.1</v>
      </c>
      <c r="C37" s="375">
        <v>88.419071518193249</v>
      </c>
      <c r="D37" s="375">
        <v>79.326145552560646</v>
      </c>
      <c r="E37" s="375">
        <v>48.001730103806239</v>
      </c>
      <c r="F37" s="375">
        <v>72.193419740777671</v>
      </c>
      <c r="G37" s="375">
        <v>82.033719704952574</v>
      </c>
      <c r="H37" s="375">
        <v>69.594356261022924</v>
      </c>
      <c r="I37" s="375">
        <v>104.28121720881427</v>
      </c>
      <c r="J37" s="375">
        <v>73</v>
      </c>
      <c r="K37" s="365">
        <v>73.599999999999994</v>
      </c>
      <c r="L37" s="301">
        <v>87.391021470396879</v>
      </c>
    </row>
    <row r="40" spans="1:12">
      <c r="A40" s="1501"/>
      <c r="B40" s="1501"/>
      <c r="C40" s="1501"/>
      <c r="D40" s="1501"/>
      <c r="E40" s="1501"/>
      <c r="F40" s="1501"/>
      <c r="G40" s="1501"/>
      <c r="H40" s="1501"/>
      <c r="I40" s="1501"/>
      <c r="J40" s="1501"/>
      <c r="K40" s="1501"/>
    </row>
    <row r="43" spans="1:12">
      <c r="A43" s="1501">
        <v>48</v>
      </c>
      <c r="B43" s="1501"/>
      <c r="C43" s="1501"/>
      <c r="D43" s="1501"/>
      <c r="E43" s="1501"/>
      <c r="F43" s="1501"/>
      <c r="G43" s="1501"/>
      <c r="H43" s="1501"/>
      <c r="I43" s="1501"/>
      <c r="J43" s="1501"/>
      <c r="K43" s="1501"/>
      <c r="L43" s="1501"/>
    </row>
  </sheetData>
  <mergeCells count="8">
    <mergeCell ref="A1:L1"/>
    <mergeCell ref="K2:L2"/>
    <mergeCell ref="A43:L43"/>
    <mergeCell ref="A3:A4"/>
    <mergeCell ref="A21:A22"/>
    <mergeCell ref="A40:K40"/>
    <mergeCell ref="B3:L3"/>
    <mergeCell ref="B21:L21"/>
  </mergeCells>
  <pageMargins left="0.7" right="0.49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53"/>
  <sheetViews>
    <sheetView workbookViewId="0">
      <selection activeCell="B6" sqref="B6:B11"/>
    </sheetView>
  </sheetViews>
  <sheetFormatPr defaultRowHeight="12.75"/>
  <cols>
    <col min="1" max="1" width="2.7109375" style="99" customWidth="1"/>
    <col min="2" max="3" width="9.140625" style="99"/>
    <col min="4" max="4" width="9.85546875" style="99" customWidth="1"/>
    <col min="5" max="5" width="9.140625" style="99"/>
    <col min="6" max="6" width="10" style="99" customWidth="1"/>
    <col min="7" max="7" width="9.5703125" style="99" customWidth="1"/>
    <col min="8" max="8" width="10.140625" style="99" customWidth="1"/>
    <col min="9" max="16384" width="9.140625" style="99"/>
  </cols>
  <sheetData>
    <row r="1" spans="2:10">
      <c r="B1" s="1678" t="s">
        <v>1219</v>
      </c>
      <c r="C1" s="1678"/>
      <c r="D1" s="1678"/>
      <c r="E1" s="1678"/>
      <c r="F1" s="1678"/>
      <c r="G1" s="1678"/>
      <c r="H1" s="1678"/>
      <c r="I1" s="1678"/>
      <c r="J1" s="1678"/>
    </row>
    <row r="2" spans="2:10" ht="24.75" customHeight="1">
      <c r="B2" s="1679" t="s">
        <v>1548</v>
      </c>
      <c r="C2" s="1680"/>
      <c r="D2" s="756"/>
      <c r="E2" s="306"/>
      <c r="F2" s="306"/>
      <c r="G2" s="840"/>
      <c r="H2" s="1572" t="s">
        <v>906</v>
      </c>
      <c r="I2" s="1572"/>
      <c r="J2" s="756"/>
    </row>
    <row r="3" spans="2:10" ht="20.25" customHeight="1">
      <c r="B3" s="1681" t="s">
        <v>210</v>
      </c>
      <c r="C3" s="1684" t="s">
        <v>35</v>
      </c>
      <c r="D3" s="1561" t="s">
        <v>36</v>
      </c>
      <c r="E3" s="1604" t="s">
        <v>346</v>
      </c>
      <c r="F3" s="1610"/>
      <c r="G3" s="1605"/>
      <c r="H3" s="1561" t="s">
        <v>37</v>
      </c>
      <c r="I3" s="1561" t="s">
        <v>38</v>
      </c>
      <c r="J3"/>
    </row>
    <row r="4" spans="2:10" ht="12.75" customHeight="1">
      <c r="B4" s="1682"/>
      <c r="C4" s="1581"/>
      <c r="D4" s="1565"/>
      <c r="E4" s="1564" t="s">
        <v>353</v>
      </c>
      <c r="F4" s="1685" t="s">
        <v>39</v>
      </c>
      <c r="G4" s="1564" t="s">
        <v>414</v>
      </c>
      <c r="H4" s="1565"/>
      <c r="I4" s="1565"/>
      <c r="J4"/>
    </row>
    <row r="5" spans="2:10">
      <c r="B5" s="1683"/>
      <c r="C5" s="1582"/>
      <c r="D5" s="1566"/>
      <c r="E5" s="1566"/>
      <c r="F5" s="1686"/>
      <c r="G5" s="1566"/>
      <c r="H5" s="1566"/>
      <c r="I5" s="1566"/>
      <c r="J5"/>
    </row>
    <row r="6" spans="2:10" ht="21" customHeight="1">
      <c r="B6" s="812" t="s">
        <v>184</v>
      </c>
      <c r="C6" s="1214">
        <v>3180</v>
      </c>
      <c r="D6" s="1214">
        <v>7990</v>
      </c>
      <c r="E6" s="537">
        <v>7990</v>
      </c>
      <c r="F6" s="537">
        <v>3180</v>
      </c>
      <c r="G6" s="537">
        <v>4810</v>
      </c>
      <c r="H6" s="537">
        <v>12040</v>
      </c>
      <c r="I6" s="753">
        <f>SUM(H6/E6)*10</f>
        <v>15.068836045056319</v>
      </c>
      <c r="J6" s="757"/>
    </row>
    <row r="7" spans="2:10" ht="21" customHeight="1">
      <c r="B7" s="537" t="s">
        <v>187</v>
      </c>
      <c r="C7" s="1214">
        <v>220</v>
      </c>
      <c r="D7" s="1214">
        <v>220</v>
      </c>
      <c r="E7" s="537">
        <v>220</v>
      </c>
      <c r="F7" s="537">
        <v>220</v>
      </c>
      <c r="G7" s="537"/>
      <c r="H7" s="537">
        <v>438</v>
      </c>
      <c r="I7" s="753">
        <f>SUM(H7/E7)*10</f>
        <v>19.90909090909091</v>
      </c>
      <c r="J7" s="758"/>
    </row>
    <row r="8" spans="2:10" ht="21" customHeight="1">
      <c r="B8" s="537" t="s">
        <v>1549</v>
      </c>
      <c r="C8" s="1214"/>
      <c r="D8" s="1214">
        <v>650</v>
      </c>
      <c r="E8" s="537">
        <v>650</v>
      </c>
      <c r="F8" s="537"/>
      <c r="G8" s="537">
        <v>650</v>
      </c>
      <c r="H8" s="537">
        <v>671</v>
      </c>
      <c r="I8" s="753">
        <f>SUM(H8/E8)*10</f>
        <v>10.323076923076924</v>
      </c>
      <c r="J8" s="758"/>
    </row>
    <row r="9" spans="2:10" ht="21" customHeight="1">
      <c r="B9" s="537" t="s">
        <v>1550</v>
      </c>
      <c r="C9" s="1214"/>
      <c r="D9" s="1214">
        <v>3150</v>
      </c>
      <c r="E9" s="537">
        <v>1200</v>
      </c>
      <c r="F9" s="537"/>
      <c r="G9" s="537">
        <v>1200</v>
      </c>
      <c r="H9" s="537">
        <v>300</v>
      </c>
      <c r="I9" s="753">
        <f>SUM(H9/E9)*10</f>
        <v>2.5</v>
      </c>
      <c r="J9" s="758"/>
    </row>
    <row r="10" spans="2:10" ht="21" customHeight="1">
      <c r="B10" s="1198" t="s">
        <v>269</v>
      </c>
      <c r="C10" s="1215">
        <f t="shared" ref="C10:H10" si="0">SUM(C6:C9)</f>
        <v>3400</v>
      </c>
      <c r="D10" s="1215">
        <f t="shared" si="0"/>
        <v>12010</v>
      </c>
      <c r="E10" s="1215">
        <f t="shared" si="0"/>
        <v>10060</v>
      </c>
      <c r="F10" s="1215">
        <f t="shared" si="0"/>
        <v>3400</v>
      </c>
      <c r="G10" s="1215">
        <f t="shared" si="0"/>
        <v>6660</v>
      </c>
      <c r="H10" s="1215">
        <f t="shared" si="0"/>
        <v>13449</v>
      </c>
      <c r="I10" s="776">
        <f>SUM(H10/E10)*10</f>
        <v>13.36878727634195</v>
      </c>
      <c r="J10"/>
    </row>
    <row r="11" spans="2:10" ht="21" customHeight="1">
      <c r="B11" s="1169" t="s">
        <v>366</v>
      </c>
      <c r="C11" s="751">
        <v>3695</v>
      </c>
      <c r="D11" s="751">
        <v>9520</v>
      </c>
      <c r="E11" s="751">
        <v>6290</v>
      </c>
      <c r="F11" s="751">
        <v>3695</v>
      </c>
      <c r="G11" s="751">
        <v>2595</v>
      </c>
      <c r="H11" s="751">
        <v>5501.5</v>
      </c>
      <c r="I11" s="753">
        <v>8.7464228934817161</v>
      </c>
      <c r="J11"/>
    </row>
    <row r="12" spans="2:10" ht="17.25" customHeight="1">
      <c r="B12" s="759"/>
      <c r="C12" s="1171" t="s">
        <v>348</v>
      </c>
      <c r="D12" s="1171"/>
      <c r="E12" s="1171"/>
      <c r="F12" s="1171"/>
      <c r="G12" s="1172" t="s">
        <v>349</v>
      </c>
      <c r="H12" s="1171"/>
      <c r="I12" s="1171"/>
      <c r="J12" s="754"/>
    </row>
    <row r="13" spans="2:10">
      <c r="B13" s="760"/>
      <c r="C13" s="1561" t="s">
        <v>36</v>
      </c>
      <c r="D13" s="1561" t="s">
        <v>40</v>
      </c>
      <c r="E13" s="1561" t="s">
        <v>37</v>
      </c>
      <c r="F13" s="1561" t="s">
        <v>38</v>
      </c>
      <c r="G13" s="1561" t="s">
        <v>36</v>
      </c>
      <c r="H13" s="1561" t="s">
        <v>40</v>
      </c>
      <c r="I13" s="1561" t="s">
        <v>37</v>
      </c>
      <c r="J13" s="1561" t="s">
        <v>38</v>
      </c>
    </row>
    <row r="14" spans="2:10">
      <c r="B14" s="761"/>
      <c r="C14" s="1565"/>
      <c r="D14" s="1565"/>
      <c r="E14" s="1565"/>
      <c r="F14" s="1565"/>
      <c r="G14" s="1565"/>
      <c r="H14" s="1565"/>
      <c r="I14" s="1565"/>
      <c r="J14" s="1565"/>
    </row>
    <row r="15" spans="2:10">
      <c r="B15" s="762"/>
      <c r="C15" s="1566"/>
      <c r="D15" s="1566"/>
      <c r="E15" s="1566"/>
      <c r="F15" s="1566"/>
      <c r="G15" s="1566"/>
      <c r="H15" s="1566"/>
      <c r="I15" s="1566"/>
      <c r="J15" s="1566"/>
    </row>
    <row r="16" spans="2:10" ht="20.25" customHeight="1">
      <c r="B16" s="1216" t="s">
        <v>179</v>
      </c>
      <c r="C16" s="1210">
        <v>13</v>
      </c>
      <c r="D16" s="764">
        <v>13</v>
      </c>
      <c r="E16" s="763">
        <v>80</v>
      </c>
      <c r="F16" s="764">
        <f>SUM(E16/D16)*10</f>
        <v>61.53846153846154</v>
      </c>
      <c r="G16" s="1210">
        <v>3</v>
      </c>
      <c r="H16" s="764">
        <v>3</v>
      </c>
      <c r="I16" s="765">
        <v>17.5</v>
      </c>
      <c r="J16" s="753">
        <f>SUM(I16/H16)*10</f>
        <v>58.333333333333329</v>
      </c>
    </row>
    <row r="17" spans="2:10" ht="20.25" customHeight="1">
      <c r="B17" s="1217" t="s">
        <v>180</v>
      </c>
      <c r="C17" s="766">
        <v>18.869</v>
      </c>
      <c r="D17" s="766">
        <v>18.87</v>
      </c>
      <c r="E17" s="766">
        <v>196.07</v>
      </c>
      <c r="F17" s="764">
        <f t="shared" ref="F17:F29" si="1">SUM(E17/D17)*10</f>
        <v>103.9056703762586</v>
      </c>
      <c r="G17" s="1219">
        <v>5.4349999999999996</v>
      </c>
      <c r="H17" s="767">
        <v>5.4349999999999996</v>
      </c>
      <c r="I17" s="768">
        <v>30.3</v>
      </c>
      <c r="J17" s="753">
        <f t="shared" ref="J17:J29" si="2">SUM(I17/H17)*10</f>
        <v>55.749770009199644</v>
      </c>
    </row>
    <row r="18" spans="2:10" ht="20.25" customHeight="1">
      <c r="B18" s="1217" t="s">
        <v>181</v>
      </c>
      <c r="C18" s="766">
        <v>3.83</v>
      </c>
      <c r="D18" s="766">
        <v>3.83</v>
      </c>
      <c r="E18" s="766">
        <v>34.5</v>
      </c>
      <c r="F18" s="764">
        <f t="shared" si="1"/>
        <v>90.078328981723232</v>
      </c>
      <c r="G18" s="1210">
        <v>2.258</v>
      </c>
      <c r="H18" s="766">
        <v>2.2599999999999998</v>
      </c>
      <c r="I18" s="769">
        <v>21.4</v>
      </c>
      <c r="J18" s="753">
        <f t="shared" si="2"/>
        <v>94.690265486725664</v>
      </c>
    </row>
    <row r="19" spans="2:10" ht="20.25" customHeight="1">
      <c r="B19" s="1217" t="s">
        <v>182</v>
      </c>
      <c r="C19" s="766">
        <v>4.8</v>
      </c>
      <c r="D19" s="771">
        <v>4.8</v>
      </c>
      <c r="E19" s="770">
        <v>41</v>
      </c>
      <c r="F19" s="764">
        <f t="shared" si="1"/>
        <v>85.416666666666686</v>
      </c>
      <c r="G19" s="1210">
        <v>2.1</v>
      </c>
      <c r="H19" s="771">
        <v>2.12</v>
      </c>
      <c r="I19" s="768">
        <v>18</v>
      </c>
      <c r="J19" s="764">
        <f t="shared" si="2"/>
        <v>84.905660377358487</v>
      </c>
    </row>
    <row r="20" spans="2:10" ht="20.25" customHeight="1">
      <c r="B20" s="1217" t="s">
        <v>347</v>
      </c>
      <c r="C20" s="766">
        <v>12</v>
      </c>
      <c r="D20" s="771">
        <v>12</v>
      </c>
      <c r="E20" s="771">
        <v>115.2</v>
      </c>
      <c r="F20" s="764">
        <f t="shared" si="1"/>
        <v>96</v>
      </c>
      <c r="G20" s="1210">
        <v>2.5</v>
      </c>
      <c r="H20" s="771">
        <v>2</v>
      </c>
      <c r="I20" s="768">
        <v>20</v>
      </c>
      <c r="J20" s="764">
        <f t="shared" si="2"/>
        <v>100</v>
      </c>
    </row>
    <row r="21" spans="2:10" ht="20.25" customHeight="1">
      <c r="B21" s="1217" t="s">
        <v>183</v>
      </c>
      <c r="C21" s="766">
        <v>4</v>
      </c>
      <c r="D21" s="771">
        <v>4</v>
      </c>
      <c r="E21" s="771">
        <v>19</v>
      </c>
      <c r="F21" s="764">
        <f t="shared" si="1"/>
        <v>47.5</v>
      </c>
      <c r="G21" s="1210">
        <v>2</v>
      </c>
      <c r="H21" s="766">
        <v>2</v>
      </c>
      <c r="I21" s="768">
        <v>10</v>
      </c>
      <c r="J21" s="764">
        <f t="shared" si="2"/>
        <v>50</v>
      </c>
    </row>
    <row r="22" spans="2:10" ht="20.25" customHeight="1">
      <c r="B22" s="1217" t="s">
        <v>184</v>
      </c>
      <c r="C22" s="766">
        <v>9</v>
      </c>
      <c r="D22" s="771">
        <v>9</v>
      </c>
      <c r="E22" s="771">
        <v>73.8</v>
      </c>
      <c r="F22" s="764">
        <f t="shared" si="1"/>
        <v>82</v>
      </c>
      <c r="G22" s="1210">
        <v>5.5</v>
      </c>
      <c r="H22" s="771">
        <v>5.5</v>
      </c>
      <c r="I22" s="768">
        <v>44.6</v>
      </c>
      <c r="J22" s="764">
        <f t="shared" si="2"/>
        <v>81.090909090909093</v>
      </c>
    </row>
    <row r="23" spans="2:10" ht="20.25" customHeight="1">
      <c r="B23" s="1217" t="s">
        <v>185</v>
      </c>
      <c r="C23" s="766">
        <v>3</v>
      </c>
      <c r="D23" s="771">
        <v>3</v>
      </c>
      <c r="E23" s="766">
        <v>20</v>
      </c>
      <c r="F23" s="764">
        <f t="shared" si="1"/>
        <v>66.666666666666671</v>
      </c>
      <c r="G23" s="1210">
        <v>2.7</v>
      </c>
      <c r="H23" s="771">
        <v>2.7</v>
      </c>
      <c r="I23" s="768">
        <v>17</v>
      </c>
      <c r="J23" s="764">
        <f t="shared" si="2"/>
        <v>62.962962962962962</v>
      </c>
    </row>
    <row r="24" spans="2:10" ht="20.25" customHeight="1">
      <c r="B24" s="1217" t="s">
        <v>186</v>
      </c>
      <c r="C24" s="766">
        <v>1.3</v>
      </c>
      <c r="D24" s="771">
        <v>1.3</v>
      </c>
      <c r="E24" s="771">
        <v>12</v>
      </c>
      <c r="F24" s="764">
        <f t="shared" si="1"/>
        <v>92.307692307692292</v>
      </c>
      <c r="G24" s="1210">
        <v>0.5</v>
      </c>
      <c r="H24" s="771">
        <v>0.5</v>
      </c>
      <c r="I24" s="768">
        <v>3.2</v>
      </c>
      <c r="J24" s="764">
        <f t="shared" si="2"/>
        <v>64</v>
      </c>
    </row>
    <row r="25" spans="2:10" ht="20.25" customHeight="1">
      <c r="B25" s="1217" t="s">
        <v>187</v>
      </c>
      <c r="C25" s="766">
        <v>94.6</v>
      </c>
      <c r="D25" s="771">
        <v>94.6</v>
      </c>
      <c r="E25" s="771">
        <v>1173</v>
      </c>
      <c r="F25" s="764">
        <f t="shared" si="1"/>
        <v>123.99577167019029</v>
      </c>
      <c r="G25" s="1210">
        <v>5.6</v>
      </c>
      <c r="H25" s="771">
        <v>5.6</v>
      </c>
      <c r="I25" s="768">
        <v>38.1</v>
      </c>
      <c r="J25" s="764">
        <f t="shared" si="2"/>
        <v>68.035714285714292</v>
      </c>
    </row>
    <row r="26" spans="2:10" ht="20.25" customHeight="1">
      <c r="B26" s="1217" t="s">
        <v>188</v>
      </c>
      <c r="C26" s="766">
        <v>30.5</v>
      </c>
      <c r="D26" s="771">
        <v>30.5</v>
      </c>
      <c r="E26" s="771">
        <v>570.4</v>
      </c>
      <c r="F26" s="764">
        <f t="shared" si="1"/>
        <v>187.01639344262293</v>
      </c>
      <c r="G26" s="1210">
        <v>15.8</v>
      </c>
      <c r="H26" s="766">
        <v>15.8</v>
      </c>
      <c r="I26" s="768">
        <v>205.7</v>
      </c>
      <c r="J26" s="764">
        <f t="shared" si="2"/>
        <v>130.18987341772151</v>
      </c>
    </row>
    <row r="27" spans="2:10" ht="20.25" customHeight="1">
      <c r="B27" s="1217" t="s">
        <v>189</v>
      </c>
      <c r="C27" s="766">
        <v>4</v>
      </c>
      <c r="D27" s="771">
        <v>4</v>
      </c>
      <c r="E27" s="771">
        <v>19</v>
      </c>
      <c r="F27" s="764">
        <f t="shared" si="1"/>
        <v>47.5</v>
      </c>
      <c r="G27" s="1210">
        <v>1</v>
      </c>
      <c r="H27" s="771">
        <v>1</v>
      </c>
      <c r="I27" s="768">
        <v>9</v>
      </c>
      <c r="J27" s="764">
        <f t="shared" si="2"/>
        <v>90</v>
      </c>
    </row>
    <row r="28" spans="2:10" ht="20.25" customHeight="1">
      <c r="B28" s="1217" t="s">
        <v>190</v>
      </c>
      <c r="C28" s="766">
        <v>19.7</v>
      </c>
      <c r="D28" s="771">
        <v>19.7</v>
      </c>
      <c r="E28" s="766">
        <v>89.9</v>
      </c>
      <c r="F28" s="764">
        <f t="shared" si="1"/>
        <v>45.634517766497467</v>
      </c>
      <c r="G28" s="1210">
        <v>7.8</v>
      </c>
      <c r="H28" s="771">
        <v>7.8</v>
      </c>
      <c r="I28" s="769">
        <v>19.600000000000001</v>
      </c>
      <c r="J28" s="764">
        <f t="shared" si="2"/>
        <v>25.128205128205131</v>
      </c>
    </row>
    <row r="29" spans="2:10" ht="20.25" customHeight="1">
      <c r="B29" s="1218" t="s">
        <v>191</v>
      </c>
      <c r="C29" s="1220">
        <v>55.1</v>
      </c>
      <c r="D29" s="772">
        <v>51.72</v>
      </c>
      <c r="E29" s="772">
        <v>587.1</v>
      </c>
      <c r="F29" s="753">
        <f t="shared" si="1"/>
        <v>113.51508120649653</v>
      </c>
      <c r="G29" s="1188">
        <v>32.355999999999995</v>
      </c>
      <c r="H29" s="772">
        <v>28.82</v>
      </c>
      <c r="I29" s="773">
        <v>284.36</v>
      </c>
      <c r="J29" s="753">
        <f t="shared" si="2"/>
        <v>98.667591950034691</v>
      </c>
    </row>
    <row r="30" spans="2:10" ht="20.25" customHeight="1">
      <c r="B30" s="1169" t="s">
        <v>269</v>
      </c>
      <c r="C30" s="774">
        <f>SUM(C16:C29)</f>
        <v>273.69900000000001</v>
      </c>
      <c r="D30" s="775">
        <f>SUM(D16:D29)</f>
        <v>270.31999999999994</v>
      </c>
      <c r="E30" s="775">
        <f>SUM(E16:E29)</f>
        <v>3030.97</v>
      </c>
      <c r="F30" s="776">
        <f>SUM(E30/D30)*10</f>
        <v>112.12525895235279</v>
      </c>
      <c r="G30" s="774">
        <f>SUM(G16:G29)</f>
        <v>88.548999999999992</v>
      </c>
      <c r="H30" s="775">
        <f>SUM(H16:H29)</f>
        <v>84.534999999999997</v>
      </c>
      <c r="I30" s="775">
        <f>SUM(I16:I29)</f>
        <v>738.76</v>
      </c>
      <c r="J30" s="776">
        <f>SUM(I30/H30)*10</f>
        <v>87.391021470396879</v>
      </c>
    </row>
    <row r="31" spans="2:10" ht="20.25" customHeight="1">
      <c r="B31" s="1169" t="s">
        <v>366</v>
      </c>
      <c r="C31" s="752">
        <v>242.279</v>
      </c>
      <c r="D31" s="752">
        <v>242.3</v>
      </c>
      <c r="E31" s="752">
        <v>2221.8500000000004</v>
      </c>
      <c r="F31" s="777">
        <v>91.698307882789933</v>
      </c>
      <c r="G31" s="752">
        <v>138.22</v>
      </c>
      <c r="H31" s="752">
        <v>135.52000000000001</v>
      </c>
      <c r="I31" s="752">
        <v>997.02</v>
      </c>
      <c r="J31" s="775">
        <v>73.569952774498233</v>
      </c>
    </row>
    <row r="32" spans="2:10" ht="15">
      <c r="B32" s="411"/>
      <c r="C32" s="412"/>
      <c r="D32" s="412"/>
      <c r="E32" s="412"/>
      <c r="F32" s="412"/>
      <c r="G32" s="412"/>
      <c r="H32" s="390"/>
      <c r="I32" s="390"/>
      <c r="J32" s="175"/>
    </row>
    <row r="33" spans="1:11" ht="15">
      <c r="B33" s="411"/>
      <c r="C33" s="412"/>
      <c r="D33" s="412"/>
      <c r="E33" s="412"/>
      <c r="F33" s="412"/>
      <c r="G33" s="412"/>
      <c r="H33" s="390"/>
      <c r="I33" s="390"/>
      <c r="J33" s="175"/>
    </row>
    <row r="34" spans="1:11">
      <c r="B34" s="1687"/>
      <c r="C34" s="1687"/>
      <c r="D34" s="1687"/>
      <c r="E34" s="1687"/>
      <c r="F34" s="1687"/>
      <c r="G34" s="1687"/>
      <c r="H34" s="1687"/>
      <c r="I34" s="1687"/>
      <c r="J34" s="1687"/>
      <c r="K34" s="413"/>
    </row>
    <row r="35" spans="1:11">
      <c r="B35" s="1688"/>
      <c r="C35" s="1689"/>
      <c r="D35" s="1689"/>
      <c r="E35" s="1689"/>
      <c r="F35" s="1689"/>
      <c r="G35" s="1689"/>
      <c r="H35" s="1689"/>
      <c r="I35" s="1689"/>
      <c r="J35" s="1690"/>
    </row>
    <row r="36" spans="1:11">
      <c r="B36" s="1688"/>
      <c r="C36" s="1689"/>
      <c r="D36" s="1689"/>
      <c r="E36" s="1689"/>
      <c r="F36" s="1689"/>
      <c r="G36" s="1689"/>
      <c r="H36" s="1689"/>
      <c r="I36" s="1689"/>
      <c r="J36" s="1690"/>
    </row>
    <row r="37" spans="1:11">
      <c r="B37" s="1688"/>
      <c r="C37" s="414"/>
      <c r="D37" s="414"/>
      <c r="E37" s="414"/>
      <c r="F37" s="414"/>
      <c r="G37" s="414"/>
      <c r="H37" s="414"/>
      <c r="I37" s="415"/>
      <c r="J37" s="1690"/>
    </row>
    <row r="38" spans="1:11">
      <c r="B38" s="360"/>
      <c r="C38" s="416"/>
      <c r="D38" s="416"/>
      <c r="E38" s="416"/>
      <c r="F38" s="292"/>
      <c r="G38" s="292"/>
      <c r="H38" s="292"/>
      <c r="I38" s="292"/>
      <c r="J38" s="292"/>
    </row>
    <row r="39" spans="1:11">
      <c r="A39" s="1514">
        <v>49</v>
      </c>
      <c r="B39" s="1514"/>
      <c r="C39" s="1514"/>
      <c r="D39" s="1514"/>
      <c r="E39" s="1514"/>
      <c r="F39" s="1514"/>
      <c r="G39" s="1514"/>
      <c r="H39" s="1514"/>
      <c r="I39" s="1514"/>
      <c r="J39" s="1514"/>
    </row>
    <row r="40" spans="1:11">
      <c r="B40" s="360"/>
      <c r="C40" s="292"/>
      <c r="D40" s="292"/>
      <c r="E40" s="292"/>
      <c r="F40" s="292"/>
      <c r="G40" s="292"/>
      <c r="H40" s="292"/>
      <c r="I40" s="292"/>
      <c r="J40" s="416"/>
    </row>
    <row r="41" spans="1:11">
      <c r="B41" s="400"/>
      <c r="C41" s="292"/>
      <c r="D41" s="292"/>
      <c r="E41" s="292"/>
      <c r="F41" s="292"/>
      <c r="G41" s="292"/>
      <c r="H41" s="292"/>
      <c r="I41" s="292"/>
      <c r="J41" s="292"/>
    </row>
    <row r="42" spans="1:11">
      <c r="B42" s="400"/>
      <c r="C42" s="292"/>
      <c r="D42" s="292"/>
      <c r="E42" s="292"/>
      <c r="F42" s="292"/>
      <c r="G42" s="292"/>
      <c r="H42" s="292"/>
      <c r="I42" s="292"/>
      <c r="J42" s="292"/>
    </row>
    <row r="43" spans="1:11">
      <c r="B43" s="400"/>
      <c r="C43" s="292"/>
      <c r="D43" s="292"/>
      <c r="E43" s="292"/>
      <c r="F43" s="292"/>
      <c r="G43" s="292"/>
      <c r="H43" s="292"/>
      <c r="I43" s="292"/>
      <c r="J43" s="292"/>
    </row>
    <row r="44" spans="1:11">
      <c r="B44" s="400"/>
      <c r="C44" s="292"/>
      <c r="D44" s="292"/>
      <c r="E44" s="292"/>
      <c r="F44" s="292"/>
      <c r="G44" s="292"/>
      <c r="H44" s="292"/>
      <c r="I44" s="292"/>
      <c r="J44" s="416"/>
    </row>
    <row r="45" spans="1:11">
      <c r="B45" s="400"/>
      <c r="C45" s="292"/>
      <c r="D45" s="292"/>
      <c r="E45" s="292"/>
      <c r="F45" s="292"/>
      <c r="G45" s="292"/>
      <c r="H45" s="292"/>
      <c r="I45" s="292"/>
      <c r="J45" s="292"/>
    </row>
    <row r="46" spans="1:11">
      <c r="B46" s="400"/>
      <c r="C46" s="292"/>
      <c r="D46" s="292"/>
      <c r="E46" s="292"/>
      <c r="F46" s="292"/>
      <c r="G46" s="292"/>
      <c r="H46" s="292"/>
      <c r="I46" s="292"/>
      <c r="J46" s="417"/>
    </row>
    <row r="47" spans="1:11">
      <c r="B47" s="400"/>
      <c r="C47" s="292"/>
      <c r="D47" s="292"/>
      <c r="E47" s="292"/>
      <c r="F47" s="292"/>
      <c r="G47" s="292"/>
      <c r="H47" s="292"/>
      <c r="I47" s="292"/>
      <c r="J47" s="416"/>
    </row>
    <row r="48" spans="1:11">
      <c r="B48" s="400"/>
      <c r="C48" s="416"/>
      <c r="D48" s="416"/>
      <c r="E48" s="292"/>
      <c r="F48" s="416"/>
      <c r="G48" s="417"/>
      <c r="H48" s="292"/>
      <c r="I48" s="416"/>
      <c r="J48" s="416"/>
    </row>
    <row r="49" spans="2:10">
      <c r="B49" s="400"/>
      <c r="C49" s="292"/>
      <c r="D49" s="292"/>
      <c r="E49" s="292"/>
      <c r="F49" s="292"/>
      <c r="G49" s="292"/>
      <c r="H49" s="292"/>
      <c r="I49" s="292"/>
      <c r="J49" s="292"/>
    </row>
    <row r="50" spans="2:10">
      <c r="B50" s="400"/>
      <c r="C50" s="292"/>
      <c r="D50" s="292"/>
      <c r="E50" s="292"/>
      <c r="F50" s="292"/>
      <c r="G50" s="292"/>
      <c r="H50" s="292"/>
      <c r="I50" s="292"/>
      <c r="J50" s="292"/>
    </row>
    <row r="51" spans="2:10">
      <c r="B51" s="400"/>
      <c r="C51" s="292"/>
      <c r="D51" s="292"/>
      <c r="E51" s="292"/>
      <c r="F51" s="292"/>
      <c r="G51" s="416"/>
      <c r="H51" s="292"/>
      <c r="I51" s="292"/>
      <c r="J51" s="416"/>
    </row>
    <row r="52" spans="2:10" ht="15">
      <c r="B52" s="360"/>
      <c r="C52" s="418"/>
      <c r="D52" s="418"/>
      <c r="E52" s="418"/>
      <c r="F52" s="418"/>
      <c r="G52" s="418"/>
      <c r="H52" s="418"/>
      <c r="I52" s="418"/>
      <c r="J52" s="418"/>
    </row>
    <row r="53" spans="2:10" ht="15">
      <c r="B53" s="411"/>
      <c r="C53" s="416"/>
      <c r="D53" s="416"/>
      <c r="E53" s="416"/>
      <c r="F53" s="416"/>
      <c r="G53" s="416"/>
      <c r="H53" s="416"/>
      <c r="I53" s="292"/>
      <c r="J53" s="416"/>
    </row>
  </sheetData>
  <mergeCells count="26">
    <mergeCell ref="C13:C15"/>
    <mergeCell ref="D13:D15"/>
    <mergeCell ref="E13:E15"/>
    <mergeCell ref="F13:F15"/>
    <mergeCell ref="A39:J39"/>
    <mergeCell ref="B34:J34"/>
    <mergeCell ref="B35:B37"/>
    <mergeCell ref="C35:I35"/>
    <mergeCell ref="J35:J37"/>
    <mergeCell ref="C36:I36"/>
    <mergeCell ref="G13:G15"/>
    <mergeCell ref="H13:H15"/>
    <mergeCell ref="I13:I15"/>
    <mergeCell ref="J13:J15"/>
    <mergeCell ref="B1:J1"/>
    <mergeCell ref="B2:C2"/>
    <mergeCell ref="B3:B5"/>
    <mergeCell ref="C3:C5"/>
    <mergeCell ref="D3:D5"/>
    <mergeCell ref="H3:H5"/>
    <mergeCell ref="I3:I5"/>
    <mergeCell ref="E4:E5"/>
    <mergeCell ref="G4:G5"/>
    <mergeCell ref="E3:G3"/>
    <mergeCell ref="H2:I2"/>
    <mergeCell ref="F4:F5"/>
  </mergeCells>
  <pageMargins left="0.7" right="0.49" top="0.63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30"/>
  <sheetViews>
    <sheetView workbookViewId="0">
      <selection activeCell="K13" sqref="K13"/>
    </sheetView>
  </sheetViews>
  <sheetFormatPr defaultRowHeight="12.75"/>
  <cols>
    <col min="1" max="1" width="4.28515625" style="107" customWidth="1"/>
    <col min="2" max="2" width="15.7109375" style="107" customWidth="1"/>
    <col min="3" max="3" width="6.140625" style="107" customWidth="1"/>
    <col min="4" max="4" width="7" style="107" customWidth="1"/>
    <col min="5" max="5" width="5.85546875" style="107" customWidth="1"/>
    <col min="6" max="6" width="6.5703125" style="107" customWidth="1"/>
    <col min="7" max="7" width="4.5703125" style="107" customWidth="1"/>
    <col min="8" max="8" width="6.7109375" style="107" customWidth="1"/>
    <col min="9" max="9" width="4.85546875" style="107" customWidth="1"/>
    <col min="10" max="10" width="6.42578125" style="107" customWidth="1"/>
    <col min="11" max="11" width="6.140625" style="107" customWidth="1"/>
    <col min="12" max="12" width="6.42578125" style="107" customWidth="1"/>
    <col min="13" max="14" width="7.140625" style="107" customWidth="1"/>
    <col min="15" max="16" width="7" style="107" customWidth="1"/>
    <col min="17" max="17" width="6.140625" style="107" customWidth="1"/>
    <col min="18" max="18" width="6.28515625" style="107" customWidth="1"/>
    <col min="19" max="19" width="5.140625" style="107" customWidth="1"/>
    <col min="20" max="20" width="6.42578125" style="107" customWidth="1"/>
    <col min="21" max="16384" width="9.140625" style="107"/>
  </cols>
  <sheetData>
    <row r="1" spans="1:20">
      <c r="A1" s="1386" t="s">
        <v>500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</row>
    <row r="2" spans="1:20">
      <c r="B2" s="1474"/>
      <c r="C2" s="1474"/>
      <c r="D2" s="1474"/>
    </row>
    <row r="3" spans="1:20">
      <c r="A3" s="1699" t="s">
        <v>1220</v>
      </c>
      <c r="B3" s="1487" t="s">
        <v>501</v>
      </c>
      <c r="C3" s="1701" t="s">
        <v>502</v>
      </c>
      <c r="D3" s="1695"/>
      <c r="E3" s="1701" t="s">
        <v>503</v>
      </c>
      <c r="F3" s="1695"/>
      <c r="G3" s="1463" t="s">
        <v>504</v>
      </c>
      <c r="H3" s="1463"/>
      <c r="I3" s="1701" t="s">
        <v>505</v>
      </c>
      <c r="J3" s="1695"/>
      <c r="K3" s="1464" t="s">
        <v>506</v>
      </c>
      <c r="L3" s="1692"/>
      <c r="M3" s="1464" t="s">
        <v>507</v>
      </c>
      <c r="N3" s="1692"/>
      <c r="O3" s="1464" t="s">
        <v>508</v>
      </c>
      <c r="P3" s="1692"/>
      <c r="Q3" s="1464" t="s">
        <v>509</v>
      </c>
      <c r="R3" s="1692"/>
      <c r="S3" s="1464" t="s">
        <v>510</v>
      </c>
      <c r="T3" s="1692"/>
    </row>
    <row r="4" spans="1:20" ht="26.25" customHeight="1">
      <c r="A4" s="1700"/>
      <c r="B4" s="1700"/>
      <c r="C4" s="1695">
        <v>2012</v>
      </c>
      <c r="D4" s="1463"/>
      <c r="E4" s="1463">
        <v>2012</v>
      </c>
      <c r="F4" s="1463"/>
      <c r="G4" s="1463">
        <v>2012</v>
      </c>
      <c r="H4" s="1463"/>
      <c r="I4" s="1696">
        <v>2012</v>
      </c>
      <c r="J4" s="1695"/>
      <c r="K4" s="1693"/>
      <c r="L4" s="1694"/>
      <c r="M4" s="1693"/>
      <c r="N4" s="1694"/>
      <c r="O4" s="1693"/>
      <c r="P4" s="1694"/>
      <c r="Q4" s="1693"/>
      <c r="R4" s="1694"/>
      <c r="S4" s="1693"/>
      <c r="T4" s="1694"/>
    </row>
    <row r="5" spans="1:20" ht="21" customHeight="1">
      <c r="A5" s="1488"/>
      <c r="B5" s="1488"/>
      <c r="C5" s="108" t="s">
        <v>511</v>
      </c>
      <c r="D5" s="109">
        <v>10000</v>
      </c>
      <c r="E5" s="109" t="s">
        <v>511</v>
      </c>
      <c r="F5" s="109">
        <v>10000</v>
      </c>
      <c r="G5" s="109" t="s">
        <v>511</v>
      </c>
      <c r="H5" s="109">
        <v>10000</v>
      </c>
      <c r="I5" s="109" t="s">
        <v>511</v>
      </c>
      <c r="J5" s="109">
        <v>10000</v>
      </c>
      <c r="K5" s="109">
        <v>2011</v>
      </c>
      <c r="L5" s="109">
        <v>2012</v>
      </c>
      <c r="M5" s="109">
        <v>2011</v>
      </c>
      <c r="N5" s="109">
        <v>2012</v>
      </c>
      <c r="O5" s="109">
        <v>2011</v>
      </c>
      <c r="P5" s="109">
        <v>2012</v>
      </c>
      <c r="Q5" s="109">
        <v>2011</v>
      </c>
      <c r="R5" s="109">
        <v>2012</v>
      </c>
      <c r="S5" s="109">
        <v>2011</v>
      </c>
      <c r="T5" s="109">
        <v>2012</v>
      </c>
    </row>
    <row r="6" spans="1:20" ht="21.75" customHeight="1">
      <c r="A6" s="109">
        <v>1</v>
      </c>
      <c r="B6" s="113" t="s">
        <v>280</v>
      </c>
      <c r="C6" s="551">
        <v>467</v>
      </c>
      <c r="D6" s="552">
        <f>C6*10000/3017</f>
        <v>1547.895260192244</v>
      </c>
      <c r="E6" s="553">
        <v>49</v>
      </c>
      <c r="F6" s="552">
        <f>E6*10000/3017</f>
        <v>162.41299303944317</v>
      </c>
      <c r="G6" s="553"/>
      <c r="H6" s="552"/>
      <c r="I6" s="553">
        <v>35</v>
      </c>
      <c r="J6" s="552">
        <f>I6*10000/3017</f>
        <v>116.0092807424594</v>
      </c>
      <c r="K6" s="554">
        <v>452</v>
      </c>
      <c r="L6" s="554">
        <v>384</v>
      </c>
      <c r="M6" s="553">
        <v>3571</v>
      </c>
      <c r="N6" s="554">
        <v>2912</v>
      </c>
      <c r="O6" s="552">
        <v>357.1</v>
      </c>
      <c r="P6" s="552">
        <v>291.2</v>
      </c>
      <c r="Q6" s="552">
        <v>7.9004424778761058</v>
      </c>
      <c r="R6" s="552">
        <v>7.583333333333333</v>
      </c>
      <c r="S6" s="552">
        <v>45.2</v>
      </c>
      <c r="T6" s="552">
        <v>38.4</v>
      </c>
    </row>
    <row r="7" spans="1:20" ht="18" customHeight="1">
      <c r="A7" s="109">
        <v>2</v>
      </c>
      <c r="B7" s="113" t="s">
        <v>281</v>
      </c>
      <c r="C7" s="551">
        <v>425</v>
      </c>
      <c r="D7" s="552">
        <f>C7*10000/2021.5</f>
        <v>2102.3992085085333</v>
      </c>
      <c r="E7" s="553">
        <v>24</v>
      </c>
      <c r="F7" s="552">
        <f>E7*10000/2021.5</f>
        <v>118.72372000989364</v>
      </c>
      <c r="G7" s="553"/>
      <c r="H7" s="552"/>
      <c r="I7" s="553">
        <v>3</v>
      </c>
      <c r="J7" s="552">
        <f>I7*10000/2021.5</f>
        <v>14.840465001236705</v>
      </c>
      <c r="K7" s="554">
        <v>193</v>
      </c>
      <c r="L7" s="554">
        <v>192</v>
      </c>
      <c r="M7" s="576">
        <v>1436</v>
      </c>
      <c r="N7" s="554">
        <v>1558</v>
      </c>
      <c r="O7" s="552">
        <v>287.2</v>
      </c>
      <c r="P7" s="552">
        <v>311.60000000000002</v>
      </c>
      <c r="Q7" s="552">
        <v>7.4404145077720205</v>
      </c>
      <c r="R7" s="552">
        <v>8.1145833333333339</v>
      </c>
      <c r="S7" s="552">
        <v>38.6</v>
      </c>
      <c r="T7" s="552">
        <v>38.4</v>
      </c>
    </row>
    <row r="8" spans="1:20" ht="18" customHeight="1">
      <c r="A8" s="109">
        <v>3</v>
      </c>
      <c r="B8" s="113" t="s">
        <v>290</v>
      </c>
      <c r="C8" s="555">
        <v>804</v>
      </c>
      <c r="D8" s="556">
        <f>C8*10000/4425</f>
        <v>1816.949152542373</v>
      </c>
      <c r="E8" s="557">
        <v>112</v>
      </c>
      <c r="F8" s="556">
        <f>E8*10000/4425</f>
        <v>253.10734463276836</v>
      </c>
      <c r="G8" s="557"/>
      <c r="H8" s="556"/>
      <c r="I8" s="557">
        <v>113</v>
      </c>
      <c r="J8" s="556">
        <f>I8*10000/4425</f>
        <v>255.36723163841808</v>
      </c>
      <c r="K8" s="558">
        <v>541</v>
      </c>
      <c r="L8" s="558">
        <v>460</v>
      </c>
      <c r="M8" s="557">
        <v>4151</v>
      </c>
      <c r="N8" s="558">
        <v>3490</v>
      </c>
      <c r="O8" s="556">
        <v>244.1764705882353</v>
      </c>
      <c r="P8" s="556">
        <v>205.29411764705881</v>
      </c>
      <c r="Q8" s="556">
        <v>7.6728280961182991</v>
      </c>
      <c r="R8" s="556">
        <v>7.5869565217391308</v>
      </c>
      <c r="S8" s="556">
        <v>31.823529411764707</v>
      </c>
      <c r="T8" s="556">
        <v>27.058823529411764</v>
      </c>
    </row>
    <row r="9" spans="1:20" ht="18" customHeight="1">
      <c r="A9" s="109">
        <v>4</v>
      </c>
      <c r="B9" s="113" t="s">
        <v>282</v>
      </c>
      <c r="C9" s="551">
        <v>363</v>
      </c>
      <c r="D9" s="552">
        <f>C9*10000/1755.5</f>
        <v>2067.7869552833949</v>
      </c>
      <c r="E9" s="553">
        <v>25</v>
      </c>
      <c r="F9" s="552">
        <f>E9*10000/1755.5</f>
        <v>142.40956992309884</v>
      </c>
      <c r="G9" s="553"/>
      <c r="H9" s="552"/>
      <c r="I9" s="553">
        <v>16</v>
      </c>
      <c r="J9" s="552">
        <f>I9*10000/1755.5</f>
        <v>91.142124750783253</v>
      </c>
      <c r="K9" s="554">
        <v>294</v>
      </c>
      <c r="L9" s="554">
        <v>268</v>
      </c>
      <c r="M9" s="553">
        <v>2323</v>
      </c>
      <c r="N9" s="554">
        <v>1932</v>
      </c>
      <c r="O9" s="552">
        <v>331.85714285714283</v>
      </c>
      <c r="P9" s="552">
        <v>276</v>
      </c>
      <c r="Q9" s="552">
        <v>7.9013605442176873</v>
      </c>
      <c r="R9" s="552">
        <v>7.2089552238805972</v>
      </c>
      <c r="S9" s="552">
        <v>42</v>
      </c>
      <c r="T9" s="552">
        <v>38.285714285714285</v>
      </c>
    </row>
    <row r="10" spans="1:20" ht="18" customHeight="1">
      <c r="A10" s="109">
        <v>5</v>
      </c>
      <c r="B10" s="113" t="s">
        <v>283</v>
      </c>
      <c r="C10" s="551">
        <v>847</v>
      </c>
      <c r="D10" s="552">
        <f>C10*10000/1346</f>
        <v>6292.7191679049038</v>
      </c>
      <c r="E10" s="553">
        <v>83</v>
      </c>
      <c r="F10" s="552">
        <f>E10*10000/1346</f>
        <v>616.64190193164939</v>
      </c>
      <c r="G10" s="553"/>
      <c r="H10" s="552"/>
      <c r="I10" s="553">
        <v>161</v>
      </c>
      <c r="J10" s="552">
        <f>I10*10000/1346</f>
        <v>1196.1367013372958</v>
      </c>
      <c r="K10" s="554">
        <v>297</v>
      </c>
      <c r="L10" s="554">
        <v>307</v>
      </c>
      <c r="M10" s="553">
        <v>2182</v>
      </c>
      <c r="N10" s="554">
        <v>2275</v>
      </c>
      <c r="O10" s="552">
        <v>363.66666666666669</v>
      </c>
      <c r="P10" s="552">
        <v>379.16666666666669</v>
      </c>
      <c r="Q10" s="552">
        <v>7.3468013468013469</v>
      </c>
      <c r="R10" s="552">
        <v>7.4104234527687298</v>
      </c>
      <c r="S10" s="552">
        <v>49.5</v>
      </c>
      <c r="T10" s="552">
        <v>51.166666666666664</v>
      </c>
    </row>
    <row r="11" spans="1:20" ht="18" customHeight="1">
      <c r="A11" s="109">
        <v>6</v>
      </c>
      <c r="B11" s="113" t="s">
        <v>284</v>
      </c>
      <c r="C11" s="551">
        <v>733</v>
      </c>
      <c r="D11" s="552">
        <f>C11*10000/3252.5</f>
        <v>2253.651037663336</v>
      </c>
      <c r="E11" s="553">
        <v>91</v>
      </c>
      <c r="F11" s="552">
        <f>E11*10000/3252.5</f>
        <v>279.78478093774021</v>
      </c>
      <c r="G11" s="553"/>
      <c r="H11" s="552"/>
      <c r="I11" s="553">
        <v>23</v>
      </c>
      <c r="J11" s="552">
        <f>I11*10000/3252.5</f>
        <v>70.714834742505758</v>
      </c>
      <c r="K11" s="554">
        <v>593</v>
      </c>
      <c r="L11" s="554">
        <v>528</v>
      </c>
      <c r="M11" s="553">
        <v>4271</v>
      </c>
      <c r="N11" s="554">
        <v>3618</v>
      </c>
      <c r="O11" s="552">
        <v>355.91666666666669</v>
      </c>
      <c r="P11" s="552">
        <v>301.5</v>
      </c>
      <c r="Q11" s="552">
        <v>7.2023608768971332</v>
      </c>
      <c r="R11" s="552">
        <v>6.8522727272727275</v>
      </c>
      <c r="S11" s="552">
        <v>49.416666666666664</v>
      </c>
      <c r="T11" s="552">
        <v>44</v>
      </c>
    </row>
    <row r="12" spans="1:20" ht="18" customHeight="1">
      <c r="A12" s="109">
        <v>7</v>
      </c>
      <c r="B12" s="113" t="s">
        <v>285</v>
      </c>
      <c r="C12" s="551">
        <v>495</v>
      </c>
      <c r="D12" s="552">
        <f>C12*10000/2510</f>
        <v>1972.1115537848605</v>
      </c>
      <c r="E12" s="553">
        <v>18</v>
      </c>
      <c r="F12" s="552">
        <f>E12*10000/2510</f>
        <v>71.713147410358559</v>
      </c>
      <c r="G12" s="553"/>
      <c r="H12" s="552"/>
      <c r="I12" s="553">
        <v>10</v>
      </c>
      <c r="J12" s="552">
        <f>I12*10000/2510</f>
        <v>39.840637450199203</v>
      </c>
      <c r="K12" s="554">
        <v>355</v>
      </c>
      <c r="L12" s="554">
        <v>350</v>
      </c>
      <c r="M12" s="553">
        <v>2460</v>
      </c>
      <c r="N12" s="554">
        <v>2640</v>
      </c>
      <c r="O12" s="552">
        <v>273.33333333333331</v>
      </c>
      <c r="P12" s="552">
        <v>293.33333333333331</v>
      </c>
      <c r="Q12" s="552">
        <v>6.929577464788732</v>
      </c>
      <c r="R12" s="552">
        <v>7.5428571428571427</v>
      </c>
      <c r="S12" s="552">
        <v>39.444444444444443</v>
      </c>
      <c r="T12" s="552">
        <v>38.888888888888886</v>
      </c>
    </row>
    <row r="13" spans="1:20" ht="18" customHeight="1">
      <c r="A13" s="109">
        <v>8</v>
      </c>
      <c r="B13" s="113" t="s">
        <v>288</v>
      </c>
      <c r="C13" s="551">
        <v>645</v>
      </c>
      <c r="D13" s="552">
        <f>C13*10000/2166.5</f>
        <v>2977.1520886222015</v>
      </c>
      <c r="E13" s="553">
        <v>62</v>
      </c>
      <c r="F13" s="552">
        <f>E13*10000/2166.5</f>
        <v>286.17585968151394</v>
      </c>
      <c r="G13" s="553"/>
      <c r="H13" s="552"/>
      <c r="I13" s="553">
        <v>55</v>
      </c>
      <c r="J13" s="552">
        <f>I13*10000/2166.5</f>
        <v>253.86568197553657</v>
      </c>
      <c r="K13" s="554">
        <v>291</v>
      </c>
      <c r="L13" s="554">
        <v>287</v>
      </c>
      <c r="M13" s="553">
        <v>2043</v>
      </c>
      <c r="N13" s="554">
        <v>2114</v>
      </c>
      <c r="O13" s="552">
        <v>255.375</v>
      </c>
      <c r="P13" s="552">
        <v>264.25</v>
      </c>
      <c r="Q13" s="552">
        <v>7.0206185567010309</v>
      </c>
      <c r="R13" s="552">
        <v>7.3658536585365857</v>
      </c>
      <c r="S13" s="552">
        <v>36.375</v>
      </c>
      <c r="T13" s="552">
        <v>35.875</v>
      </c>
    </row>
    <row r="14" spans="1:20" ht="18" customHeight="1">
      <c r="A14" s="109">
        <v>9</v>
      </c>
      <c r="B14" s="113" t="s">
        <v>512</v>
      </c>
      <c r="C14" s="559">
        <v>584</v>
      </c>
      <c r="D14" s="560">
        <f>C14*10000/3244</f>
        <v>1800.2466091245376</v>
      </c>
      <c r="E14" s="561">
        <v>66</v>
      </c>
      <c r="F14" s="560">
        <f>E14*10000/3244</f>
        <v>203.4525277435265</v>
      </c>
      <c r="G14" s="561"/>
      <c r="H14" s="560"/>
      <c r="I14" s="561"/>
      <c r="J14" s="560">
        <f>I14*10000/3244</f>
        <v>0</v>
      </c>
      <c r="K14" s="562">
        <v>438</v>
      </c>
      <c r="L14" s="562">
        <v>425</v>
      </c>
      <c r="M14" s="561">
        <v>2773</v>
      </c>
      <c r="N14" s="562">
        <v>2888</v>
      </c>
      <c r="O14" s="560">
        <v>231.08333333333334</v>
      </c>
      <c r="P14" s="560">
        <v>240.66666666666666</v>
      </c>
      <c r="Q14" s="560">
        <v>6.3310502283105023</v>
      </c>
      <c r="R14" s="560">
        <v>6.7952941176470585</v>
      </c>
      <c r="S14" s="560">
        <v>36.5</v>
      </c>
      <c r="T14" s="560">
        <v>35.416666666666664</v>
      </c>
    </row>
    <row r="15" spans="1:20" ht="18" customHeight="1">
      <c r="A15" s="109">
        <v>10</v>
      </c>
      <c r="B15" s="113" t="s">
        <v>287</v>
      </c>
      <c r="C15" s="551">
        <v>391</v>
      </c>
      <c r="D15" s="552">
        <f>C15*10000/1745.5</f>
        <v>2240.0458321397882</v>
      </c>
      <c r="E15" s="553">
        <v>137</v>
      </c>
      <c r="F15" s="552">
        <f>E15*10000/1745.5</f>
        <v>784.87539386995127</v>
      </c>
      <c r="G15" s="553"/>
      <c r="H15" s="552"/>
      <c r="I15" s="553">
        <v>15</v>
      </c>
      <c r="J15" s="552">
        <f>I15*10000/1745.5</f>
        <v>85.935262102549416</v>
      </c>
      <c r="K15" s="554">
        <v>354</v>
      </c>
      <c r="L15" s="554">
        <v>266</v>
      </c>
      <c r="M15" s="553">
        <v>2500</v>
      </c>
      <c r="N15" s="554">
        <v>1909</v>
      </c>
      <c r="O15" s="552">
        <v>416.66666666666669</v>
      </c>
      <c r="P15" s="577">
        <v>318.16666666666669</v>
      </c>
      <c r="Q15" s="552">
        <v>7.0621468926553677</v>
      </c>
      <c r="R15" s="552">
        <v>7.1766917293233083</v>
      </c>
      <c r="S15" s="552">
        <v>59</v>
      </c>
      <c r="T15" s="552">
        <v>44.333333333333336</v>
      </c>
    </row>
    <row r="16" spans="1:20" ht="18" customHeight="1">
      <c r="A16" s="110">
        <v>11</v>
      </c>
      <c r="B16" s="114" t="s">
        <v>289</v>
      </c>
      <c r="C16" s="551">
        <v>994</v>
      </c>
      <c r="D16" s="552">
        <f>C16*10000/3684</f>
        <v>2698.1541802388706</v>
      </c>
      <c r="E16" s="553">
        <v>90</v>
      </c>
      <c r="F16" s="552">
        <f>E16*10000/3684</f>
        <v>244.29967426710098</v>
      </c>
      <c r="G16" s="553"/>
      <c r="H16" s="552"/>
      <c r="I16" s="553">
        <v>202</v>
      </c>
      <c r="J16" s="552">
        <f>I16*10000/3684</f>
        <v>548.31704668838222</v>
      </c>
      <c r="K16" s="554">
        <v>499</v>
      </c>
      <c r="L16" s="554">
        <v>354</v>
      </c>
      <c r="M16" s="553">
        <v>3686</v>
      </c>
      <c r="N16" s="554">
        <v>2374</v>
      </c>
      <c r="O16" s="552">
        <v>283.53846153846155</v>
      </c>
      <c r="P16" s="552">
        <v>182.61538461538461</v>
      </c>
      <c r="Q16" s="552">
        <v>7.3867735470941884</v>
      </c>
      <c r="R16" s="552">
        <v>6.7062146892655363</v>
      </c>
      <c r="S16" s="552">
        <v>38.384615384615387</v>
      </c>
      <c r="T16" s="552">
        <v>27.23076923076923</v>
      </c>
    </row>
    <row r="17" spans="1:20" ht="18" customHeight="1">
      <c r="A17" s="109">
        <v>12</v>
      </c>
      <c r="B17" s="113" t="s">
        <v>292</v>
      </c>
      <c r="C17" s="551">
        <v>756</v>
      </c>
      <c r="D17" s="552">
        <f>C17*10000/1620</f>
        <v>4666.666666666667</v>
      </c>
      <c r="E17" s="553">
        <v>71</v>
      </c>
      <c r="F17" s="552">
        <f>E17*10000/1620</f>
        <v>438.27160493827159</v>
      </c>
      <c r="G17" s="553"/>
      <c r="H17" s="552"/>
      <c r="I17" s="553">
        <v>62</v>
      </c>
      <c r="J17" s="552">
        <f>I17*10000/1620</f>
        <v>382.71604938271605</v>
      </c>
      <c r="K17" s="554">
        <v>249</v>
      </c>
      <c r="L17" s="554">
        <v>245</v>
      </c>
      <c r="M17" s="553">
        <v>1765</v>
      </c>
      <c r="N17" s="554">
        <v>2023</v>
      </c>
      <c r="O17" s="552">
        <v>294.16666666666669</v>
      </c>
      <c r="P17" s="552">
        <v>337.16666666666669</v>
      </c>
      <c r="Q17" s="552">
        <v>7.0883534136546187</v>
      </c>
      <c r="R17" s="552">
        <v>8.257142857142858</v>
      </c>
      <c r="S17" s="552">
        <v>41.5</v>
      </c>
      <c r="T17" s="552">
        <v>40.833333333333336</v>
      </c>
    </row>
    <row r="18" spans="1:20" ht="18" customHeight="1" thickBot="1">
      <c r="A18" s="109">
        <v>13</v>
      </c>
      <c r="B18" s="113" t="s">
        <v>291</v>
      </c>
      <c r="C18" s="559">
        <v>520</v>
      </c>
      <c r="D18" s="560">
        <f>C18*10000/2685</f>
        <v>1936.6852886405959</v>
      </c>
      <c r="E18" s="561">
        <v>56</v>
      </c>
      <c r="F18" s="560">
        <f>E18*10000/2685</f>
        <v>208.56610800744878</v>
      </c>
      <c r="G18" s="561"/>
      <c r="H18" s="560"/>
      <c r="I18" s="561">
        <v>13</v>
      </c>
      <c r="J18" s="560">
        <f>I18*10000/2685</f>
        <v>48.417132216014899</v>
      </c>
      <c r="K18" s="562">
        <v>519</v>
      </c>
      <c r="L18" s="562">
        <v>492</v>
      </c>
      <c r="M18" s="579">
        <v>3545</v>
      </c>
      <c r="N18" s="562">
        <v>3378</v>
      </c>
      <c r="O18" s="580">
        <v>354.5</v>
      </c>
      <c r="P18" s="560">
        <v>337.8</v>
      </c>
      <c r="Q18" s="560">
        <v>6.8304431599229289</v>
      </c>
      <c r="R18" s="560">
        <v>6.8658536585365857</v>
      </c>
      <c r="S18" s="580">
        <v>51.9</v>
      </c>
      <c r="T18" s="580">
        <v>49.2</v>
      </c>
    </row>
    <row r="19" spans="1:20" ht="18" customHeight="1" thickBot="1">
      <c r="A19" s="1697" t="s">
        <v>364</v>
      </c>
      <c r="B19" s="1698"/>
      <c r="C19" s="573">
        <f>SUM(C9:C18)</f>
        <v>6328</v>
      </c>
      <c r="D19" s="574">
        <f>C19*10000/22551</f>
        <v>2806.0839874063236</v>
      </c>
      <c r="E19" s="575">
        <f>SUM(E9:E18)</f>
        <v>699</v>
      </c>
      <c r="F19" s="574">
        <f>E19*10000/22551</f>
        <v>309.96408141545828</v>
      </c>
      <c r="G19" s="575"/>
      <c r="H19" s="574"/>
      <c r="I19" s="575">
        <f>SUM(I9:I18)</f>
        <v>557</v>
      </c>
      <c r="J19" s="574">
        <f>I19*10000/22551</f>
        <v>246.9956986386413</v>
      </c>
      <c r="K19" s="575">
        <f>SUM(K9:K18)</f>
        <v>3889</v>
      </c>
      <c r="L19" s="575">
        <f>SUM(L9:L18)</f>
        <v>3522</v>
      </c>
      <c r="M19" s="581">
        <v>36706</v>
      </c>
      <c r="N19" s="582">
        <v>33111</v>
      </c>
      <c r="O19" s="581">
        <v>591.9</v>
      </c>
      <c r="P19" s="581">
        <v>532.70000000000005</v>
      </c>
      <c r="Q19" s="584">
        <v>14.4</v>
      </c>
      <c r="R19" s="584">
        <v>14.4</v>
      </c>
      <c r="S19" s="585">
        <v>82.1</v>
      </c>
      <c r="T19" s="585">
        <v>73.8</v>
      </c>
    </row>
    <row r="20" spans="1:20" ht="18" customHeight="1">
      <c r="A20" s="109">
        <v>14</v>
      </c>
      <c r="B20" s="115" t="s">
        <v>513</v>
      </c>
      <c r="C20" s="563">
        <v>16634</v>
      </c>
      <c r="D20" s="556">
        <f>C20*10000/40710</f>
        <v>4085.9739621714566</v>
      </c>
      <c r="E20" s="557">
        <v>1046</v>
      </c>
      <c r="F20" s="556">
        <f>E20*10000/40710</f>
        <v>256.93932694669616</v>
      </c>
      <c r="G20" s="557">
        <v>57</v>
      </c>
      <c r="H20" s="556">
        <v>13.8</v>
      </c>
      <c r="I20" s="557">
        <v>376</v>
      </c>
      <c r="J20" s="556">
        <f>I20*10000/40710</f>
        <v>92.360599361336284</v>
      </c>
      <c r="K20" s="557">
        <v>10847</v>
      </c>
      <c r="L20" s="557">
        <v>11258</v>
      </c>
      <c r="M20" s="557">
        <v>93737</v>
      </c>
      <c r="N20" s="583">
        <v>95466</v>
      </c>
      <c r="O20" s="556">
        <v>291.10869565217394</v>
      </c>
      <c r="P20" s="556">
        <v>296.47826086956519</v>
      </c>
      <c r="Q20" s="556">
        <v>8.6417442610860142</v>
      </c>
      <c r="R20" s="556">
        <v>8.4798365606679695</v>
      </c>
      <c r="S20" s="586">
        <v>33.686335403726709</v>
      </c>
      <c r="T20" s="586">
        <v>34.962732919254655</v>
      </c>
    </row>
    <row r="21" spans="1:20" ht="18" customHeight="1">
      <c r="A21" s="109">
        <v>15</v>
      </c>
      <c r="B21" s="115" t="s">
        <v>571</v>
      </c>
      <c r="C21" s="570">
        <v>1957</v>
      </c>
      <c r="D21" s="571">
        <f>C21*10000/13732</f>
        <v>1425.1383629478589</v>
      </c>
      <c r="E21" s="570">
        <v>3</v>
      </c>
      <c r="F21" s="556">
        <f>E21*10000/13732</f>
        <v>2.1846781240897175</v>
      </c>
      <c r="G21" s="570"/>
      <c r="H21" s="570"/>
      <c r="I21" s="570">
        <v>44</v>
      </c>
      <c r="J21" s="571">
        <f>I21*10000/13732</f>
        <v>32.041945819982523</v>
      </c>
      <c r="K21" s="572"/>
      <c r="L21" s="572"/>
      <c r="M21" s="564"/>
      <c r="N21" s="564"/>
      <c r="O21" s="552"/>
      <c r="P21" s="552"/>
      <c r="Q21" s="552"/>
      <c r="R21" s="552"/>
      <c r="S21" s="552"/>
      <c r="T21" s="552"/>
    </row>
    <row r="22" spans="1:20" ht="18" customHeight="1">
      <c r="A22" s="109">
        <v>16</v>
      </c>
      <c r="B22" s="115" t="s">
        <v>573</v>
      </c>
      <c r="C22" s="546">
        <v>1247</v>
      </c>
      <c r="D22" s="571">
        <f>C22*10000/12803</f>
        <v>973.99047098336325</v>
      </c>
      <c r="E22" s="570">
        <v>5</v>
      </c>
      <c r="F22" s="570">
        <f>E22*10000/12803</f>
        <v>3.9053346871826915</v>
      </c>
      <c r="G22" s="570"/>
      <c r="H22" s="570"/>
      <c r="I22" s="570">
        <v>22</v>
      </c>
      <c r="J22" s="571">
        <f>I22*10000/12803</f>
        <v>17.183472623603844</v>
      </c>
      <c r="K22" s="572"/>
      <c r="L22" s="572"/>
      <c r="M22" s="564"/>
      <c r="N22" s="564"/>
      <c r="O22" s="552"/>
      <c r="P22" s="552"/>
      <c r="Q22" s="552"/>
      <c r="R22" s="552"/>
      <c r="S22" s="552"/>
      <c r="T22" s="552"/>
    </row>
    <row r="23" spans="1:20" ht="18" customHeight="1">
      <c r="A23" s="109">
        <v>17</v>
      </c>
      <c r="B23" s="115" t="s">
        <v>572</v>
      </c>
      <c r="C23" s="546">
        <v>4331</v>
      </c>
      <c r="D23" s="571">
        <f>C23*10000/14446</f>
        <v>2998.0617471964556</v>
      </c>
      <c r="E23" s="570">
        <v>2</v>
      </c>
      <c r="F23" s="552">
        <f>E23*10000/13732</f>
        <v>1.4564520827264782</v>
      </c>
      <c r="G23" s="570"/>
      <c r="H23" s="570"/>
      <c r="I23" s="570">
        <v>34</v>
      </c>
      <c r="J23" s="571">
        <f>I23*10000/14446</f>
        <v>23.53592690017998</v>
      </c>
      <c r="K23" s="572"/>
      <c r="L23" s="572"/>
      <c r="M23" s="564"/>
      <c r="N23" s="564"/>
      <c r="O23" s="552"/>
      <c r="P23" s="552"/>
      <c r="Q23" s="552"/>
      <c r="R23" s="552"/>
      <c r="S23" s="552"/>
      <c r="T23" s="552"/>
    </row>
    <row r="24" spans="1:20" ht="18" customHeight="1">
      <c r="A24" s="109">
        <v>18</v>
      </c>
      <c r="B24" s="115" t="s">
        <v>516</v>
      </c>
      <c r="C24" s="565"/>
      <c r="D24" s="552"/>
      <c r="E24" s="553"/>
      <c r="F24" s="552"/>
      <c r="G24" s="553"/>
      <c r="H24" s="552"/>
      <c r="I24" s="553"/>
      <c r="J24" s="556"/>
      <c r="K24" s="553">
        <v>505</v>
      </c>
      <c r="L24" s="553">
        <v>528</v>
      </c>
      <c r="M24" s="553">
        <v>4886</v>
      </c>
      <c r="N24" s="554">
        <v>4872</v>
      </c>
      <c r="O24" s="552">
        <v>325.73333333333335</v>
      </c>
      <c r="P24" s="552">
        <v>324.8</v>
      </c>
      <c r="Q24" s="552">
        <v>9.675247524752475</v>
      </c>
      <c r="R24" s="552">
        <v>9.2272727272727266</v>
      </c>
      <c r="S24" s="552">
        <v>33.666666666666664</v>
      </c>
      <c r="T24" s="552">
        <v>35.200000000000003</v>
      </c>
    </row>
    <row r="25" spans="1:20" ht="18" customHeight="1" thickBot="1">
      <c r="A25" s="109">
        <v>19</v>
      </c>
      <c r="B25" s="109" t="s">
        <v>514</v>
      </c>
      <c r="C25" s="566">
        <v>2385</v>
      </c>
      <c r="D25" s="556">
        <f>C25*10000/40710</f>
        <v>585.85114222549737</v>
      </c>
      <c r="E25" s="561">
        <v>10</v>
      </c>
      <c r="F25" s="560">
        <f>E25*10000/40710</f>
        <v>2.4563989191844757</v>
      </c>
      <c r="G25" s="561"/>
      <c r="H25" s="560"/>
      <c r="I25" s="561">
        <v>262</v>
      </c>
      <c r="J25" s="560">
        <f>I25*10000/40710</f>
        <v>64.357651682633261</v>
      </c>
      <c r="K25" s="561">
        <v>972</v>
      </c>
      <c r="L25" s="561">
        <v>1151</v>
      </c>
      <c r="M25" s="561">
        <v>8678</v>
      </c>
      <c r="N25" s="562">
        <v>9760</v>
      </c>
      <c r="O25" s="560">
        <v>271.1875</v>
      </c>
      <c r="P25" s="560">
        <v>305</v>
      </c>
      <c r="Q25" s="560">
        <v>8.9279835390946509</v>
      </c>
      <c r="R25" s="560">
        <v>8.479582971329279</v>
      </c>
      <c r="S25" s="560">
        <v>30.375</v>
      </c>
      <c r="T25" s="560">
        <v>35.96875</v>
      </c>
    </row>
    <row r="26" spans="1:20" ht="13.5" thickBot="1">
      <c r="A26" s="1691" t="s">
        <v>515</v>
      </c>
      <c r="B26" s="1691"/>
      <c r="C26" s="567">
        <v>34578</v>
      </c>
      <c r="D26" s="568">
        <v>4625.5</v>
      </c>
      <c r="E26" s="567">
        <v>1950</v>
      </c>
      <c r="F26" s="568">
        <f>E26*10000/74754.5</f>
        <v>260.85386164043638</v>
      </c>
      <c r="G26" s="567">
        <f>G15+G19+G20+G21+G24+G25</f>
        <v>57</v>
      </c>
      <c r="H26" s="568">
        <f>G26*10000/74754.5</f>
        <v>7.6249590325666015</v>
      </c>
      <c r="I26" s="567">
        <v>1446</v>
      </c>
      <c r="J26" s="568">
        <f>I26*10000/74754.5</f>
        <v>193.43317124721588</v>
      </c>
      <c r="K26" s="569">
        <v>17399</v>
      </c>
      <c r="L26" s="569">
        <v>17495</v>
      </c>
      <c r="M26" s="569">
        <v>144007</v>
      </c>
      <c r="N26" s="578">
        <v>143209</v>
      </c>
      <c r="O26" s="574">
        <v>293.89183673469387</v>
      </c>
      <c r="P26" s="574">
        <v>292.26326530612243</v>
      </c>
      <c r="Q26" s="574">
        <v>8.2767400425311806</v>
      </c>
      <c r="R26" s="574">
        <v>8.1857102029151179</v>
      </c>
      <c r="S26" s="574">
        <v>35.508163265306123</v>
      </c>
      <c r="T26" s="574">
        <v>35.704081632653065</v>
      </c>
    </row>
    <row r="30" spans="1:20">
      <c r="A30" s="1386">
        <v>50</v>
      </c>
      <c r="B30" s="1386"/>
      <c r="C30" s="1386"/>
      <c r="D30" s="1386"/>
      <c r="E30" s="1386"/>
      <c r="F30" s="1386"/>
      <c r="G30" s="1386"/>
      <c r="H30" s="1386"/>
      <c r="I30" s="1386"/>
      <c r="J30" s="1386"/>
      <c r="K30" s="1386"/>
      <c r="L30" s="1386"/>
      <c r="M30" s="1386"/>
      <c r="N30" s="1386"/>
      <c r="O30" s="1386"/>
      <c r="P30" s="1386"/>
      <c r="Q30" s="1386"/>
      <c r="R30" s="1386"/>
      <c r="S30" s="1386"/>
      <c r="T30" s="1386"/>
    </row>
  </sheetData>
  <mergeCells count="20">
    <mergeCell ref="A1:T1"/>
    <mergeCell ref="B2:D2"/>
    <mergeCell ref="A3:A5"/>
    <mergeCell ref="B3:B5"/>
    <mergeCell ref="C3:D3"/>
    <mergeCell ref="E3:F3"/>
    <mergeCell ref="G3:H3"/>
    <mergeCell ref="I3:J3"/>
    <mergeCell ref="K3:L4"/>
    <mergeCell ref="M3:N4"/>
    <mergeCell ref="A30:T30"/>
    <mergeCell ref="A26:B26"/>
    <mergeCell ref="O3:P4"/>
    <mergeCell ref="Q3:R4"/>
    <mergeCell ref="S3:T4"/>
    <mergeCell ref="C4:D4"/>
    <mergeCell ref="E4:F4"/>
    <mergeCell ref="G4:H4"/>
    <mergeCell ref="I4:J4"/>
    <mergeCell ref="A19:B19"/>
  </mergeCells>
  <phoneticPr fontId="2" type="noConversion"/>
  <pageMargins left="0.75" right="0.35" top="0.71" bottom="0.59" header="0.5" footer="0.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P28"/>
  <sheetViews>
    <sheetView workbookViewId="0">
      <selection activeCell="O3" sqref="O3:P4"/>
    </sheetView>
  </sheetViews>
  <sheetFormatPr defaultRowHeight="12.75"/>
  <cols>
    <col min="1" max="1" width="14.42578125" style="83" customWidth="1"/>
    <col min="2" max="4" width="7.5703125" style="83" customWidth="1"/>
    <col min="5" max="8" width="9.7109375" style="83" customWidth="1"/>
    <col min="9" max="12" width="7.85546875" style="83" customWidth="1"/>
    <col min="13" max="16" width="8.85546875" style="83" customWidth="1"/>
    <col min="17" max="16384" width="9.140625" style="83"/>
  </cols>
  <sheetData>
    <row r="1" spans="1:16">
      <c r="A1" s="1657" t="s">
        <v>1394</v>
      </c>
      <c r="B1" s="1657"/>
      <c r="C1" s="1657"/>
      <c r="D1" s="1657"/>
      <c r="E1" s="1657"/>
      <c r="F1" s="1657"/>
      <c r="G1" s="1657"/>
      <c r="H1" s="1657"/>
      <c r="I1" s="1657"/>
      <c r="J1" s="1657"/>
      <c r="K1" s="1657"/>
      <c r="L1" s="1657"/>
      <c r="M1" s="1657"/>
      <c r="N1" s="1657"/>
      <c r="O1" s="1657"/>
      <c r="P1" s="1657"/>
    </row>
    <row r="2" spans="1:16" ht="22.5" customHeight="1">
      <c r="A2" s="149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50"/>
      <c r="M2" s="150"/>
      <c r="N2" s="105"/>
      <c r="O2" s="105"/>
      <c r="P2" s="105"/>
    </row>
    <row r="3" spans="1:16" ht="24.75" customHeight="1">
      <c r="A3" s="1468" t="s">
        <v>295</v>
      </c>
      <c r="B3" s="1701" t="s">
        <v>577</v>
      </c>
      <c r="C3" s="1701"/>
      <c r="D3" s="1695"/>
      <c r="E3" s="1696" t="s">
        <v>412</v>
      </c>
      <c r="F3" s="1701"/>
      <c r="G3" s="1701"/>
      <c r="H3" s="1695"/>
      <c r="I3" s="1696" t="s">
        <v>413</v>
      </c>
      <c r="J3" s="1701"/>
      <c r="K3" s="1701"/>
      <c r="L3" s="1701"/>
      <c r="M3" s="1705" t="s">
        <v>355</v>
      </c>
      <c r="N3" s="1465"/>
      <c r="O3" s="1702" t="s">
        <v>86</v>
      </c>
      <c r="P3" s="1702"/>
    </row>
    <row r="4" spans="1:16" ht="18.75" customHeight="1">
      <c r="A4" s="1704"/>
      <c r="B4" s="108">
        <v>2011</v>
      </c>
      <c r="C4" s="1696">
        <v>2012</v>
      </c>
      <c r="D4" s="1695"/>
      <c r="E4" s="1696">
        <v>2011</v>
      </c>
      <c r="F4" s="1695"/>
      <c r="G4" s="1696">
        <v>2012</v>
      </c>
      <c r="H4" s="1695"/>
      <c r="I4" s="1696">
        <v>2011</v>
      </c>
      <c r="J4" s="1695"/>
      <c r="K4" s="1696">
        <v>2012</v>
      </c>
      <c r="L4" s="1695"/>
      <c r="M4" s="1466"/>
      <c r="N4" s="1467"/>
      <c r="O4" s="1702"/>
      <c r="P4" s="1702"/>
    </row>
    <row r="5" spans="1:16" ht="47.25" customHeight="1">
      <c r="A5" s="1469"/>
      <c r="B5" s="152" t="s">
        <v>574</v>
      </c>
      <c r="C5" s="168" t="s">
        <v>575</v>
      </c>
      <c r="D5" s="152" t="s">
        <v>576</v>
      </c>
      <c r="E5" s="168" t="s">
        <v>410</v>
      </c>
      <c r="F5" s="152" t="s">
        <v>411</v>
      </c>
      <c r="G5" s="168" t="s">
        <v>410</v>
      </c>
      <c r="H5" s="152" t="s">
        <v>411</v>
      </c>
      <c r="I5" s="168" t="s">
        <v>410</v>
      </c>
      <c r="J5" s="152" t="s">
        <v>411</v>
      </c>
      <c r="K5" s="168" t="s">
        <v>410</v>
      </c>
      <c r="L5" s="152" t="s">
        <v>411</v>
      </c>
      <c r="M5" s="146">
        <v>2011</v>
      </c>
      <c r="N5" s="146">
        <v>2012</v>
      </c>
      <c r="O5" s="146">
        <v>2011</v>
      </c>
      <c r="P5" s="146">
        <v>2012</v>
      </c>
    </row>
    <row r="6" spans="1:16" ht="18.95" customHeight="1">
      <c r="A6" s="394" t="s">
        <v>280</v>
      </c>
      <c r="B6" s="153">
        <v>57</v>
      </c>
      <c r="C6" s="153">
        <v>58</v>
      </c>
      <c r="D6" s="153">
        <v>55</v>
      </c>
      <c r="E6" s="153">
        <v>20</v>
      </c>
      <c r="F6" s="153">
        <v>6.63</v>
      </c>
      <c r="G6" s="153">
        <v>22</v>
      </c>
      <c r="H6" s="153">
        <v>7.15</v>
      </c>
      <c r="I6" s="153">
        <v>4</v>
      </c>
      <c r="J6" s="153">
        <v>70.2</v>
      </c>
      <c r="K6" s="153"/>
      <c r="L6" s="153"/>
      <c r="M6" s="153">
        <v>10209</v>
      </c>
      <c r="N6" s="153">
        <v>10496</v>
      </c>
      <c r="O6" s="124">
        <v>12.26</v>
      </c>
      <c r="P6" s="844">
        <v>11.69</v>
      </c>
    </row>
    <row r="7" spans="1:16" ht="18.95" customHeight="1">
      <c r="A7" s="77" t="s">
        <v>281</v>
      </c>
      <c r="B7" s="120">
        <v>37</v>
      </c>
      <c r="C7" s="120">
        <v>36</v>
      </c>
      <c r="D7" s="120">
        <v>36</v>
      </c>
      <c r="E7" s="120">
        <v>12</v>
      </c>
      <c r="F7" s="120">
        <v>5.94</v>
      </c>
      <c r="G7" s="120">
        <v>5</v>
      </c>
      <c r="H7" s="120">
        <v>2.44</v>
      </c>
      <c r="I7" s="120"/>
      <c r="J7" s="120"/>
      <c r="K7" s="120"/>
      <c r="L7" s="120"/>
      <c r="M7" s="120">
        <v>4738</v>
      </c>
      <c r="N7" s="120">
        <v>4640</v>
      </c>
      <c r="O7" s="124">
        <v>11.87</v>
      </c>
      <c r="P7" s="844">
        <v>15.11</v>
      </c>
    </row>
    <row r="8" spans="1:16" ht="18.95" customHeight="1">
      <c r="A8" s="77" t="s">
        <v>290</v>
      </c>
      <c r="B8" s="120">
        <v>122</v>
      </c>
      <c r="C8" s="120">
        <v>96</v>
      </c>
      <c r="D8" s="120">
        <v>77</v>
      </c>
      <c r="E8" s="120">
        <v>33</v>
      </c>
      <c r="F8" s="154">
        <v>7.46</v>
      </c>
      <c r="G8" s="120">
        <v>33</v>
      </c>
      <c r="H8" s="154">
        <v>7.47</v>
      </c>
      <c r="I8" s="120">
        <v>5</v>
      </c>
      <c r="J8" s="120">
        <v>40.700000000000003</v>
      </c>
      <c r="K8" s="120">
        <v>2</v>
      </c>
      <c r="L8" s="120">
        <v>20.6</v>
      </c>
      <c r="M8" s="120">
        <v>9165</v>
      </c>
      <c r="N8" s="120">
        <v>12511</v>
      </c>
      <c r="O8" s="124">
        <v>20.34</v>
      </c>
      <c r="P8" s="844">
        <v>14.5</v>
      </c>
    </row>
    <row r="9" spans="1:16" ht="18.95" customHeight="1">
      <c r="A9" s="118" t="s">
        <v>282</v>
      </c>
      <c r="B9" s="120">
        <v>42</v>
      </c>
      <c r="C9" s="120">
        <v>28</v>
      </c>
      <c r="D9" s="120">
        <v>27</v>
      </c>
      <c r="E9" s="120">
        <v>11</v>
      </c>
      <c r="F9" s="120">
        <v>6.27</v>
      </c>
      <c r="G9" s="120">
        <v>14</v>
      </c>
      <c r="H9" s="120">
        <v>8.15</v>
      </c>
      <c r="I9" s="120"/>
      <c r="J9" s="120"/>
      <c r="K9" s="120"/>
      <c r="L9" s="120"/>
      <c r="M9" s="120">
        <v>3389</v>
      </c>
      <c r="N9" s="120">
        <v>2937</v>
      </c>
      <c r="O9" s="124">
        <v>18.23</v>
      </c>
      <c r="P9" s="844">
        <v>7.57</v>
      </c>
    </row>
    <row r="10" spans="1:16" ht="18.95" customHeight="1">
      <c r="A10" s="118" t="s">
        <v>283</v>
      </c>
      <c r="B10" s="120">
        <v>32</v>
      </c>
      <c r="C10" s="120">
        <v>29</v>
      </c>
      <c r="D10" s="120">
        <v>25</v>
      </c>
      <c r="E10" s="120">
        <v>6</v>
      </c>
      <c r="F10" s="120">
        <v>4.46</v>
      </c>
      <c r="G10" s="120">
        <v>9</v>
      </c>
      <c r="H10" s="120">
        <v>6.66</v>
      </c>
      <c r="I10" s="120">
        <v>1</v>
      </c>
      <c r="J10" s="120">
        <v>31.3</v>
      </c>
      <c r="K10" s="120"/>
      <c r="L10" s="120"/>
      <c r="M10" s="120">
        <v>3138</v>
      </c>
      <c r="N10" s="120">
        <v>4575</v>
      </c>
      <c r="O10" s="124">
        <v>19.32</v>
      </c>
      <c r="P10" s="844">
        <v>14.79</v>
      </c>
    </row>
    <row r="11" spans="1:16" ht="18.95" customHeight="1">
      <c r="A11" s="118" t="s">
        <v>284</v>
      </c>
      <c r="B11" s="120">
        <v>89</v>
      </c>
      <c r="C11" s="120">
        <v>80</v>
      </c>
      <c r="D11" s="120">
        <v>66</v>
      </c>
      <c r="E11" s="120">
        <v>24</v>
      </c>
      <c r="F11" s="120">
        <v>7.38</v>
      </c>
      <c r="G11" s="120">
        <v>27</v>
      </c>
      <c r="H11" s="120">
        <v>8.24</v>
      </c>
      <c r="I11" s="120">
        <v>1</v>
      </c>
      <c r="J11" s="155">
        <v>11.1</v>
      </c>
      <c r="K11" s="120">
        <v>1</v>
      </c>
      <c r="L11" s="155">
        <v>12.5</v>
      </c>
      <c r="M11" s="120">
        <v>8152</v>
      </c>
      <c r="N11" s="120">
        <v>9580</v>
      </c>
      <c r="O11" s="124">
        <v>20.29</v>
      </c>
      <c r="P11" s="844">
        <v>16.170000000000002</v>
      </c>
    </row>
    <row r="12" spans="1:16" ht="18.95" customHeight="1">
      <c r="A12" s="118" t="s">
        <v>285</v>
      </c>
      <c r="B12" s="120">
        <v>69</v>
      </c>
      <c r="C12" s="120">
        <v>47</v>
      </c>
      <c r="D12" s="120">
        <v>41</v>
      </c>
      <c r="E12" s="120">
        <v>13</v>
      </c>
      <c r="F12" s="120">
        <v>5.18</v>
      </c>
      <c r="G12" s="120">
        <v>18</v>
      </c>
      <c r="H12" s="120">
        <v>7.16</v>
      </c>
      <c r="I12" s="120">
        <v>1</v>
      </c>
      <c r="J12" s="120">
        <v>14.5</v>
      </c>
      <c r="K12" s="120">
        <v>1</v>
      </c>
      <c r="L12" s="120">
        <v>21.3</v>
      </c>
      <c r="M12" s="120">
        <v>3077</v>
      </c>
      <c r="N12" s="120">
        <v>3340</v>
      </c>
      <c r="O12" s="124">
        <v>22.31</v>
      </c>
      <c r="P12" s="844">
        <v>11.54</v>
      </c>
    </row>
    <row r="13" spans="1:16" ht="18.95" customHeight="1">
      <c r="A13" s="77" t="s">
        <v>288</v>
      </c>
      <c r="B13" s="156">
        <v>55</v>
      </c>
      <c r="C13" s="120">
        <v>42</v>
      </c>
      <c r="D13" s="156">
        <v>40</v>
      </c>
      <c r="E13" s="120">
        <v>16</v>
      </c>
      <c r="F13" s="120">
        <v>7.39</v>
      </c>
      <c r="G13" s="120">
        <v>9</v>
      </c>
      <c r="H13" s="120">
        <v>4.2300000000000004</v>
      </c>
      <c r="I13" s="120">
        <v>1</v>
      </c>
      <c r="J13" s="120">
        <v>17.899999999999999</v>
      </c>
      <c r="K13" s="120">
        <v>1</v>
      </c>
      <c r="L13" s="120">
        <v>23.8</v>
      </c>
      <c r="M13" s="120">
        <v>8178</v>
      </c>
      <c r="N13" s="120">
        <v>7427</v>
      </c>
      <c r="O13" s="124">
        <v>18.46</v>
      </c>
      <c r="P13" s="844">
        <v>15.51</v>
      </c>
    </row>
    <row r="14" spans="1:16" ht="18.95" customHeight="1">
      <c r="A14" s="118" t="s">
        <v>286</v>
      </c>
      <c r="B14" s="120">
        <v>86</v>
      </c>
      <c r="C14" s="120">
        <v>56</v>
      </c>
      <c r="D14" s="120">
        <v>53</v>
      </c>
      <c r="E14" s="120">
        <v>20</v>
      </c>
      <c r="F14" s="120">
        <v>6.17</v>
      </c>
      <c r="G14" s="120">
        <v>17</v>
      </c>
      <c r="H14" s="120">
        <v>5.17</v>
      </c>
      <c r="I14" s="120">
        <v>1</v>
      </c>
      <c r="J14" s="120">
        <v>11.6</v>
      </c>
      <c r="K14" s="120"/>
      <c r="L14" s="120"/>
      <c r="M14" s="120">
        <v>10118</v>
      </c>
      <c r="N14" s="120">
        <v>10071</v>
      </c>
      <c r="O14" s="124">
        <v>20.350000000000001</v>
      </c>
      <c r="P14" s="844">
        <v>11.56</v>
      </c>
    </row>
    <row r="15" spans="1:16" ht="18.95" customHeight="1">
      <c r="A15" s="118" t="s">
        <v>287</v>
      </c>
      <c r="B15" s="120">
        <v>39</v>
      </c>
      <c r="C15" s="120">
        <v>35</v>
      </c>
      <c r="D15" s="120">
        <v>33</v>
      </c>
      <c r="E15" s="120">
        <v>7</v>
      </c>
      <c r="F15" s="120">
        <v>4.01</v>
      </c>
      <c r="G15" s="120">
        <v>8</v>
      </c>
      <c r="H15" s="120">
        <v>4.67</v>
      </c>
      <c r="I15" s="120"/>
      <c r="J15" s="155"/>
      <c r="K15" s="120"/>
      <c r="L15" s="155"/>
      <c r="M15" s="120">
        <v>6287</v>
      </c>
      <c r="N15" s="120">
        <v>7411</v>
      </c>
      <c r="O15" s="124">
        <v>18.91</v>
      </c>
      <c r="P15" s="844">
        <v>15.75</v>
      </c>
    </row>
    <row r="16" spans="1:16" ht="18.95" customHeight="1">
      <c r="A16" s="118" t="s">
        <v>289</v>
      </c>
      <c r="B16" s="120">
        <v>64</v>
      </c>
      <c r="C16" s="120">
        <v>71</v>
      </c>
      <c r="D16" s="120">
        <v>68</v>
      </c>
      <c r="E16" s="120">
        <v>15</v>
      </c>
      <c r="F16" s="120">
        <v>4.07</v>
      </c>
      <c r="G16" s="120">
        <v>19</v>
      </c>
      <c r="H16" s="120">
        <v>5.27</v>
      </c>
      <c r="I16" s="120">
        <v>1</v>
      </c>
      <c r="J16" s="120">
        <v>15.6</v>
      </c>
      <c r="K16" s="120"/>
      <c r="L16" s="120"/>
      <c r="M16" s="120">
        <v>9700</v>
      </c>
      <c r="N16" s="120">
        <v>11175</v>
      </c>
      <c r="O16" s="124">
        <v>13.3</v>
      </c>
      <c r="P16" s="844">
        <v>14.41</v>
      </c>
    </row>
    <row r="17" spans="1:16" ht="18.95" customHeight="1">
      <c r="A17" s="118" t="s">
        <v>292</v>
      </c>
      <c r="B17" s="120">
        <v>43</v>
      </c>
      <c r="C17" s="120">
        <v>38</v>
      </c>
      <c r="D17" s="120">
        <v>24</v>
      </c>
      <c r="E17" s="120">
        <v>15</v>
      </c>
      <c r="F17" s="120">
        <v>9.26</v>
      </c>
      <c r="G17" s="120">
        <v>5</v>
      </c>
      <c r="H17" s="120">
        <v>3.05</v>
      </c>
      <c r="I17" s="120"/>
      <c r="J17" s="120"/>
      <c r="K17" s="120">
        <v>1</v>
      </c>
      <c r="L17" s="120">
        <v>25.6</v>
      </c>
      <c r="M17" s="120">
        <v>6180</v>
      </c>
      <c r="N17" s="120">
        <v>6012</v>
      </c>
      <c r="O17" s="124">
        <v>17.28</v>
      </c>
      <c r="P17" s="844">
        <v>20.73</v>
      </c>
    </row>
    <row r="18" spans="1:16" ht="18.95" customHeight="1">
      <c r="A18" s="118" t="s">
        <v>291</v>
      </c>
      <c r="B18" s="120">
        <v>49</v>
      </c>
      <c r="C18" s="120">
        <v>62</v>
      </c>
      <c r="D18" s="120">
        <v>60</v>
      </c>
      <c r="E18" s="120">
        <v>14</v>
      </c>
      <c r="F18" s="120">
        <v>5.21</v>
      </c>
      <c r="G18" s="120">
        <v>12</v>
      </c>
      <c r="H18" s="120">
        <v>4.49</v>
      </c>
      <c r="I18" s="120">
        <v>2</v>
      </c>
      <c r="J18" s="155">
        <v>41.7</v>
      </c>
      <c r="K18" s="120">
        <v>2</v>
      </c>
      <c r="L18" s="155">
        <v>33.9</v>
      </c>
      <c r="M18" s="120">
        <v>6013</v>
      </c>
      <c r="N18" s="120">
        <v>6647</v>
      </c>
      <c r="O18" s="124">
        <v>12.66</v>
      </c>
      <c r="P18" s="844">
        <v>17.600000000000001</v>
      </c>
    </row>
    <row r="19" spans="1:16" ht="18.95" customHeight="1">
      <c r="A19" s="157" t="s">
        <v>293</v>
      </c>
      <c r="B19" s="158">
        <v>1209</v>
      </c>
      <c r="C19" s="158">
        <v>1245</v>
      </c>
      <c r="D19" s="158">
        <v>1245</v>
      </c>
      <c r="E19" s="158">
        <v>286</v>
      </c>
      <c r="F19" s="158">
        <v>7.03</v>
      </c>
      <c r="G19" s="120">
        <v>301</v>
      </c>
      <c r="H19" s="158">
        <v>7.29</v>
      </c>
      <c r="I19" s="158">
        <v>23</v>
      </c>
      <c r="J19" s="159">
        <v>19</v>
      </c>
      <c r="K19" s="158">
        <v>20</v>
      </c>
      <c r="L19" s="159">
        <v>16</v>
      </c>
      <c r="M19" s="158">
        <v>89646</v>
      </c>
      <c r="N19" s="158">
        <v>340837</v>
      </c>
      <c r="O19" s="124">
        <v>22.75</v>
      </c>
      <c r="P19" s="844">
        <v>22.91</v>
      </c>
    </row>
    <row r="20" spans="1:16" ht="24" customHeight="1">
      <c r="A20" s="160" t="s">
        <v>296</v>
      </c>
      <c r="B20" s="161">
        <f>SUM(B6:B19)</f>
        <v>1993</v>
      </c>
      <c r="C20" s="161">
        <f>SUM(C6:C19)</f>
        <v>1923</v>
      </c>
      <c r="D20" s="161">
        <f>SUM(D6:D19)</f>
        <v>1850</v>
      </c>
      <c r="E20" s="161">
        <f>SUM(E6:E19)</f>
        <v>492</v>
      </c>
      <c r="F20" s="161">
        <v>6.72</v>
      </c>
      <c r="G20" s="161">
        <f>SUM(G6:G19)</f>
        <v>499</v>
      </c>
      <c r="H20" s="161">
        <f>SUM(H6:H19)</f>
        <v>81.44</v>
      </c>
      <c r="I20" s="161">
        <f>SUM(I6:I19)</f>
        <v>40</v>
      </c>
      <c r="J20" s="162">
        <v>20</v>
      </c>
      <c r="K20" s="161">
        <f>SUM(K8:K19)</f>
        <v>28</v>
      </c>
      <c r="L20" s="162">
        <f>SUM(L8:L19)</f>
        <v>153.70000000000002</v>
      </c>
      <c r="M20" s="161">
        <f>SUM(M6:M19)</f>
        <v>177990</v>
      </c>
      <c r="N20" s="161">
        <f>SUM(N6:N19)</f>
        <v>437659</v>
      </c>
      <c r="O20" s="161">
        <v>20.309999999999999</v>
      </c>
      <c r="P20" s="845">
        <v>19.04</v>
      </c>
    </row>
    <row r="21" spans="1:16" ht="26.1" customHeight="1">
      <c r="A21" s="1706"/>
      <c r="B21" s="1706"/>
      <c r="C21" s="1706"/>
      <c r="D21" s="1706"/>
      <c r="E21" s="1706"/>
      <c r="F21" s="1706"/>
      <c r="G21" s="1706"/>
      <c r="H21" s="1706"/>
      <c r="I21" s="1706"/>
      <c r="J21" s="1706"/>
      <c r="K21" s="1706"/>
      <c r="L21" s="1706"/>
      <c r="M21" s="1706"/>
      <c r="N21" s="1706"/>
    </row>
    <row r="22" spans="1:16" ht="26.1" customHeight="1"/>
    <row r="23" spans="1:16" ht="26.1" customHeight="1"/>
    <row r="24" spans="1:16" ht="14.25" customHeight="1"/>
    <row r="25" spans="1:16" ht="26.1" customHeight="1"/>
    <row r="26" spans="1:16" ht="17.25" customHeight="1">
      <c r="A26" s="1703">
        <v>51</v>
      </c>
      <c r="B26" s="1703"/>
      <c r="C26" s="1703"/>
      <c r="D26" s="1703"/>
      <c r="E26" s="1703"/>
      <c r="F26" s="1703"/>
      <c r="G26" s="1703"/>
      <c r="H26" s="1703"/>
      <c r="I26" s="1703"/>
      <c r="J26" s="1703"/>
      <c r="K26" s="1703"/>
      <c r="L26" s="1703"/>
      <c r="M26" s="1703"/>
      <c r="N26" s="1703"/>
      <c r="O26" s="1703"/>
      <c r="P26" s="1703"/>
    </row>
    <row r="27" spans="1:16" ht="26.1" customHeight="1"/>
    <row r="28" spans="1:16" ht="26.1" customHeight="1"/>
  </sheetData>
  <mergeCells count="14">
    <mergeCell ref="O3:P4"/>
    <mergeCell ref="A1:P1"/>
    <mergeCell ref="A26:P26"/>
    <mergeCell ref="I3:L3"/>
    <mergeCell ref="B3:D3"/>
    <mergeCell ref="E3:H3"/>
    <mergeCell ref="A3:A5"/>
    <mergeCell ref="M3:N4"/>
    <mergeCell ref="E4:F4"/>
    <mergeCell ref="G4:H4"/>
    <mergeCell ref="I4:J4"/>
    <mergeCell ref="K4:L4"/>
    <mergeCell ref="C4:D4"/>
    <mergeCell ref="A21:N21"/>
  </mergeCells>
  <phoneticPr fontId="2" type="noConversion"/>
  <printOptions horizontalCentered="1" verticalCentered="1"/>
  <pageMargins left="0.19685039370078741" right="0.19685039370078741" top="0.56999999999999995" bottom="0.19685039370078741" header="0" footer="0"/>
  <pageSetup paperSize="9" orientation="landscape" horizontalDpi="120" verticalDpi="144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O51"/>
  <sheetViews>
    <sheetView topLeftCell="A19" workbookViewId="0">
      <selection activeCell="F11" sqref="F11"/>
    </sheetView>
  </sheetViews>
  <sheetFormatPr defaultRowHeight="12.75"/>
  <cols>
    <col min="1" max="1" width="3.28515625" style="51" customWidth="1"/>
    <col min="2" max="2" width="5.5703125" style="234" customWidth="1"/>
    <col min="3" max="3" width="23.42578125" style="51" customWidth="1"/>
    <col min="4" max="4" width="11" style="51" customWidth="1"/>
    <col min="5" max="5" width="12" style="51" customWidth="1"/>
    <col min="6" max="6" width="9.140625" style="51" customWidth="1"/>
    <col min="7" max="7" width="9.5703125" style="51" customWidth="1"/>
    <col min="8" max="8" width="8.7109375" style="51" customWidth="1"/>
    <col min="9" max="9" width="9.5703125" style="51" customWidth="1"/>
    <col min="10" max="10" width="15.85546875" style="51" hidden="1" customWidth="1"/>
    <col min="11" max="11" width="2.5703125" style="51" customWidth="1"/>
    <col min="12" max="12" width="5.28515625" style="51" customWidth="1"/>
    <col min="13" max="13" width="28.42578125" style="51" customWidth="1"/>
    <col min="14" max="14" width="18.5703125" style="51" customWidth="1"/>
    <col min="15" max="15" width="22.140625" style="51" customWidth="1"/>
    <col min="16" max="16" width="7" style="51" customWidth="1"/>
    <col min="17" max="17" width="5.7109375" style="51" customWidth="1"/>
    <col min="18" max="18" width="6.85546875" style="51" customWidth="1"/>
    <col min="19" max="21" width="5.7109375" style="51" customWidth="1"/>
    <col min="22" max="16384" width="9.140625" style="51"/>
  </cols>
  <sheetData>
    <row r="1" spans="2:15">
      <c r="B1" s="1657" t="s">
        <v>1395</v>
      </c>
      <c r="C1" s="1657"/>
      <c r="D1" s="1657"/>
      <c r="E1" s="1657"/>
      <c r="F1" s="1657"/>
      <c r="G1" s="1657"/>
      <c r="H1" s="1657"/>
      <c r="I1" s="1657"/>
    </row>
    <row r="2" spans="2:15" ht="18" customHeight="1">
      <c r="H2" s="1712"/>
      <c r="I2" s="1712"/>
      <c r="L2" s="1678" t="s">
        <v>1396</v>
      </c>
      <c r="M2" s="1678"/>
      <c r="N2" s="1678"/>
      <c r="O2" s="1678"/>
    </row>
    <row r="3" spans="2:15" s="234" customFormat="1" ht="21" customHeight="1">
      <c r="B3" s="1595"/>
      <c r="C3" s="1711" t="s">
        <v>268</v>
      </c>
      <c r="D3" s="1716">
        <v>2011</v>
      </c>
      <c r="E3" s="1716"/>
      <c r="F3" s="1716">
        <v>2012</v>
      </c>
      <c r="G3" s="1716"/>
      <c r="H3" s="1717" t="s">
        <v>267</v>
      </c>
      <c r="I3" s="1718"/>
      <c r="J3" s="51"/>
      <c r="L3" s="99"/>
      <c r="M3" s="99"/>
      <c r="N3" s="99"/>
      <c r="O3" s="99"/>
    </row>
    <row r="4" spans="2:15" ht="33" customHeight="1" thickBot="1">
      <c r="B4" s="1596"/>
      <c r="C4" s="1711"/>
      <c r="D4" s="786" t="s">
        <v>1576</v>
      </c>
      <c r="E4" s="786" t="s">
        <v>1575</v>
      </c>
      <c r="F4" s="786" t="s">
        <v>1576</v>
      </c>
      <c r="G4" s="786" t="s">
        <v>1575</v>
      </c>
      <c r="H4" s="786" t="s">
        <v>1576</v>
      </c>
      <c r="I4" s="786" t="s">
        <v>1575</v>
      </c>
      <c r="J4" s="234"/>
      <c r="L4" s="99"/>
      <c r="M4" s="99"/>
      <c r="N4" s="99"/>
      <c r="O4" s="99"/>
    </row>
    <row r="5" spans="2:15" ht="21.75" customHeight="1">
      <c r="B5" s="237">
        <v>1</v>
      </c>
      <c r="C5" s="1221" t="s">
        <v>665</v>
      </c>
      <c r="D5" s="238">
        <v>1020</v>
      </c>
      <c r="E5" s="238">
        <v>137.5</v>
      </c>
      <c r="F5" s="238">
        <v>201</v>
      </c>
      <c r="G5" s="238">
        <v>26.89</v>
      </c>
      <c r="H5" s="238">
        <f>F5-D5</f>
        <v>-819</v>
      </c>
      <c r="I5" s="239">
        <f>G5-E5</f>
        <v>-110.61</v>
      </c>
      <c r="J5" s="74"/>
      <c r="L5" s="240"/>
      <c r="M5" s="240"/>
      <c r="N5" s="1707" t="s">
        <v>93</v>
      </c>
      <c r="O5" s="1708"/>
    </row>
    <row r="6" spans="2:15" ht="21.75" customHeight="1">
      <c r="B6" s="237">
        <f>+B5+1</f>
        <v>2</v>
      </c>
      <c r="C6" s="1222" t="s">
        <v>494</v>
      </c>
      <c r="D6" s="97"/>
      <c r="E6" s="97"/>
      <c r="F6" s="97"/>
      <c r="G6" s="97"/>
      <c r="H6" s="97">
        <f t="shared" ref="H6:H30" si="0">F6-D6</f>
        <v>0</v>
      </c>
      <c r="I6" s="241">
        <f t="shared" ref="I6:I31" si="1">G6-E6</f>
        <v>0</v>
      </c>
      <c r="J6" s="77"/>
      <c r="L6" s="238" t="s">
        <v>278</v>
      </c>
      <c r="M6" s="238" t="s">
        <v>94</v>
      </c>
      <c r="N6" s="236" t="s">
        <v>95</v>
      </c>
      <c r="O6" s="236" t="s">
        <v>96</v>
      </c>
    </row>
    <row r="7" spans="2:15" ht="21.75" customHeight="1">
      <c r="B7" s="237">
        <v>3</v>
      </c>
      <c r="C7" s="1222" t="s">
        <v>41</v>
      </c>
      <c r="D7" s="97">
        <v>1</v>
      </c>
      <c r="E7" s="97">
        <v>0.13</v>
      </c>
      <c r="F7" s="97">
        <v>3</v>
      </c>
      <c r="G7" s="97">
        <v>0.4</v>
      </c>
      <c r="H7" s="97">
        <v>2</v>
      </c>
      <c r="I7" s="241">
        <v>0.27</v>
      </c>
      <c r="J7" s="77"/>
      <c r="L7" s="97">
        <v>1</v>
      </c>
      <c r="M7" s="77" t="s">
        <v>97</v>
      </c>
      <c r="N7" s="97">
        <v>9500</v>
      </c>
      <c r="O7" s="242">
        <v>24669.599999999999</v>
      </c>
    </row>
    <row r="8" spans="2:15" ht="21.75" customHeight="1">
      <c r="B8" s="237">
        <f>+B7+1</f>
        <v>4</v>
      </c>
      <c r="C8" s="1222" t="s">
        <v>2</v>
      </c>
      <c r="D8" s="97">
        <v>4</v>
      </c>
      <c r="E8" s="97">
        <v>0.54</v>
      </c>
      <c r="F8" s="97">
        <v>2</v>
      </c>
      <c r="G8" s="97">
        <v>0.27</v>
      </c>
      <c r="H8" s="97">
        <f>F8-D8</f>
        <v>-2</v>
      </c>
      <c r="I8" s="241">
        <f>G8-E8</f>
        <v>-0.27</v>
      </c>
      <c r="J8" s="77"/>
      <c r="L8" s="97">
        <v>2</v>
      </c>
      <c r="M8" s="77" t="s">
        <v>98</v>
      </c>
      <c r="N8" s="97">
        <v>6892</v>
      </c>
      <c r="O8" s="242">
        <v>19590</v>
      </c>
    </row>
    <row r="9" spans="2:15" ht="21.75" customHeight="1">
      <c r="B9" s="237">
        <v>5</v>
      </c>
      <c r="C9" s="1222" t="s">
        <v>248</v>
      </c>
      <c r="D9" s="97">
        <v>136</v>
      </c>
      <c r="E9" s="97">
        <v>18.329999999999998</v>
      </c>
      <c r="F9" s="97">
        <v>238</v>
      </c>
      <c r="G9" s="97">
        <v>31.84</v>
      </c>
      <c r="H9" s="97">
        <f t="shared" si="0"/>
        <v>102</v>
      </c>
      <c r="I9" s="241">
        <f t="shared" si="1"/>
        <v>13.510000000000002</v>
      </c>
      <c r="J9" s="77"/>
      <c r="L9" s="97">
        <v>3</v>
      </c>
      <c r="M9" s="77" t="s">
        <v>566</v>
      </c>
      <c r="N9" s="97">
        <v>8748</v>
      </c>
      <c r="O9" s="242">
        <v>16410</v>
      </c>
    </row>
    <row r="10" spans="2:15" ht="21.75" customHeight="1">
      <c r="B10" s="237">
        <f>+B9+1</f>
        <v>6</v>
      </c>
      <c r="C10" s="1222" t="s">
        <v>249</v>
      </c>
      <c r="D10" s="97">
        <v>7</v>
      </c>
      <c r="E10" s="97">
        <v>0.94</v>
      </c>
      <c r="F10" s="97">
        <v>4</v>
      </c>
      <c r="G10" s="97">
        <v>0.54</v>
      </c>
      <c r="H10" s="97">
        <f t="shared" si="0"/>
        <v>-3</v>
      </c>
      <c r="I10" s="241">
        <f t="shared" si="1"/>
        <v>-0.39999999999999991</v>
      </c>
      <c r="J10" s="77"/>
      <c r="L10" s="97">
        <v>4</v>
      </c>
      <c r="M10" s="77" t="s">
        <v>314</v>
      </c>
      <c r="N10" s="97">
        <v>13826</v>
      </c>
      <c r="O10" s="242">
        <v>26778</v>
      </c>
    </row>
    <row r="11" spans="2:15" ht="21.75" customHeight="1">
      <c r="B11" s="237">
        <v>7</v>
      </c>
      <c r="C11" s="1222" t="s">
        <v>250</v>
      </c>
      <c r="D11" s="97">
        <v>31</v>
      </c>
      <c r="E11" s="97">
        <v>4.18</v>
      </c>
      <c r="F11" s="97">
        <v>60</v>
      </c>
      <c r="G11" s="97">
        <v>8.0299999999999994</v>
      </c>
      <c r="H11" s="97">
        <f t="shared" si="0"/>
        <v>29</v>
      </c>
      <c r="I11" s="241">
        <f t="shared" si="1"/>
        <v>3.8499999999999996</v>
      </c>
      <c r="J11" s="77"/>
      <c r="L11" s="97">
        <v>5</v>
      </c>
      <c r="M11" s="77" t="s">
        <v>350</v>
      </c>
      <c r="N11" s="97">
        <v>12360</v>
      </c>
      <c r="O11" s="242">
        <v>9680</v>
      </c>
    </row>
    <row r="12" spans="2:15" ht="21.75" customHeight="1">
      <c r="B12" s="237">
        <f>+B11+1</f>
        <v>8</v>
      </c>
      <c r="C12" s="1222" t="s">
        <v>251</v>
      </c>
      <c r="D12" s="97">
        <v>34</v>
      </c>
      <c r="E12" s="97">
        <v>4.58</v>
      </c>
      <c r="F12" s="97">
        <v>27</v>
      </c>
      <c r="G12" s="97">
        <v>3.61</v>
      </c>
      <c r="H12" s="97">
        <f t="shared" si="0"/>
        <v>-7</v>
      </c>
      <c r="I12" s="241">
        <f t="shared" si="1"/>
        <v>-0.9700000000000002</v>
      </c>
      <c r="J12" s="77"/>
      <c r="L12" s="97">
        <v>6</v>
      </c>
      <c r="M12" s="77" t="s">
        <v>3</v>
      </c>
      <c r="N12" s="97">
        <v>94910</v>
      </c>
      <c r="O12" s="242">
        <v>65632.100000000006</v>
      </c>
    </row>
    <row r="13" spans="2:15" ht="21.75" customHeight="1" thickBot="1">
      <c r="B13" s="237">
        <v>9</v>
      </c>
      <c r="C13" s="1222" t="s">
        <v>252</v>
      </c>
      <c r="D13" s="97">
        <v>2</v>
      </c>
      <c r="E13" s="97">
        <v>0.27</v>
      </c>
      <c r="F13" s="97">
        <v>1</v>
      </c>
      <c r="G13" s="97">
        <v>0.13</v>
      </c>
      <c r="H13" s="97">
        <f t="shared" si="0"/>
        <v>-1</v>
      </c>
      <c r="I13" s="241">
        <f t="shared" si="1"/>
        <v>-0.14000000000000001</v>
      </c>
      <c r="J13" s="77"/>
      <c r="L13" s="97">
        <v>7</v>
      </c>
      <c r="M13" s="77" t="s">
        <v>315</v>
      </c>
      <c r="N13" s="97">
        <v>11340</v>
      </c>
      <c r="O13" s="245">
        <v>23920</v>
      </c>
    </row>
    <row r="14" spans="2:15" ht="21.75" customHeight="1" thickBot="1">
      <c r="B14" s="237">
        <f>+B13+1</f>
        <v>10</v>
      </c>
      <c r="C14" s="1222" t="s">
        <v>253</v>
      </c>
      <c r="D14" s="97"/>
      <c r="E14" s="97"/>
      <c r="F14" s="97"/>
      <c r="G14" s="97"/>
      <c r="H14" s="97"/>
      <c r="I14" s="241"/>
      <c r="J14" s="77"/>
      <c r="L14" s="97">
        <v>8</v>
      </c>
      <c r="M14" s="51" t="s">
        <v>567</v>
      </c>
      <c r="N14" s="385">
        <v>18198</v>
      </c>
      <c r="O14" s="587">
        <v>163658.29999999999</v>
      </c>
    </row>
    <row r="15" spans="2:15" ht="21.75" customHeight="1">
      <c r="B15" s="237">
        <v>11</v>
      </c>
      <c r="C15" s="1222" t="s">
        <v>254</v>
      </c>
      <c r="D15" s="97">
        <v>37</v>
      </c>
      <c r="E15" s="97">
        <v>4.99</v>
      </c>
      <c r="F15" s="97">
        <v>472</v>
      </c>
      <c r="G15" s="97">
        <v>63.14</v>
      </c>
      <c r="H15" s="97">
        <v>22</v>
      </c>
      <c r="I15" s="241">
        <f t="shared" si="1"/>
        <v>58.15</v>
      </c>
      <c r="J15" s="77"/>
      <c r="L15" s="97">
        <v>9</v>
      </c>
      <c r="M15" s="77" t="s">
        <v>351</v>
      </c>
      <c r="N15" s="97">
        <v>28400</v>
      </c>
      <c r="O15" s="408">
        <v>52394</v>
      </c>
    </row>
    <row r="16" spans="2:15" ht="21.75" customHeight="1">
      <c r="B16" s="237">
        <f>+B15+1</f>
        <v>12</v>
      </c>
      <c r="C16" s="1222" t="s">
        <v>495</v>
      </c>
      <c r="D16" s="97"/>
      <c r="E16" s="97"/>
      <c r="F16" s="97"/>
      <c r="G16" s="97"/>
      <c r="H16" s="97"/>
      <c r="I16" s="241"/>
      <c r="J16" s="77"/>
      <c r="L16" s="97">
        <v>10</v>
      </c>
      <c r="M16" s="77" t="s">
        <v>396</v>
      </c>
      <c r="N16" s="97">
        <v>15251</v>
      </c>
      <c r="O16" s="242">
        <v>16560.900000000001</v>
      </c>
    </row>
    <row r="17" spans="1:15" ht="21.75" customHeight="1">
      <c r="B17" s="237">
        <v>13</v>
      </c>
      <c r="C17" s="1222" t="s">
        <v>255</v>
      </c>
      <c r="D17" s="97">
        <v>144</v>
      </c>
      <c r="E17" s="97">
        <v>19.41</v>
      </c>
      <c r="F17" s="97">
        <v>137</v>
      </c>
      <c r="G17" s="97">
        <v>18.329999999999998</v>
      </c>
      <c r="H17" s="97">
        <v>-11</v>
      </c>
      <c r="I17" s="241">
        <f t="shared" si="1"/>
        <v>-1.0800000000000018</v>
      </c>
      <c r="J17" s="77"/>
      <c r="L17" s="97">
        <v>11</v>
      </c>
      <c r="M17" s="77" t="s">
        <v>568</v>
      </c>
      <c r="N17" s="97">
        <v>2903</v>
      </c>
      <c r="O17" s="242">
        <v>10341</v>
      </c>
    </row>
    <row r="18" spans="1:15" ht="21.75" customHeight="1">
      <c r="B18" s="237">
        <f>+B17+1</f>
        <v>14</v>
      </c>
      <c r="C18" s="1222" t="s">
        <v>256</v>
      </c>
      <c r="D18" s="97">
        <v>181</v>
      </c>
      <c r="E18" s="97">
        <v>24.4</v>
      </c>
      <c r="F18" s="97">
        <v>264</v>
      </c>
      <c r="G18" s="97">
        <v>35.32</v>
      </c>
      <c r="H18" s="97">
        <f t="shared" si="0"/>
        <v>83</v>
      </c>
      <c r="I18" s="241">
        <f t="shared" si="1"/>
        <v>10.920000000000002</v>
      </c>
      <c r="J18" s="77"/>
      <c r="L18" s="97">
        <v>12</v>
      </c>
      <c r="M18" s="77" t="s">
        <v>1226</v>
      </c>
      <c r="N18" s="97">
        <v>8930</v>
      </c>
      <c r="O18" s="242">
        <v>133710</v>
      </c>
    </row>
    <row r="19" spans="1:15" ht="21.75" customHeight="1">
      <c r="B19" s="237">
        <v>15</v>
      </c>
      <c r="C19" s="1222" t="s">
        <v>81</v>
      </c>
      <c r="D19" s="97">
        <v>10</v>
      </c>
      <c r="E19" s="97">
        <v>1.35</v>
      </c>
      <c r="F19" s="97"/>
      <c r="G19" s="97"/>
      <c r="H19" s="97">
        <f t="shared" si="0"/>
        <v>-10</v>
      </c>
      <c r="I19" s="241">
        <f t="shared" si="1"/>
        <v>-1.35</v>
      </c>
      <c r="J19" s="77"/>
      <c r="L19" s="1714" t="s">
        <v>99</v>
      </c>
      <c r="M19" s="1715"/>
      <c r="N19" s="98">
        <f>SUM(N7:N18)</f>
        <v>231258</v>
      </c>
      <c r="O19" s="112">
        <f>SUM(O7:O18)</f>
        <v>563343.9</v>
      </c>
    </row>
    <row r="20" spans="1:15" ht="21.75" customHeight="1">
      <c r="B20" s="237">
        <f>+B19+1</f>
        <v>16</v>
      </c>
      <c r="C20" s="1222" t="s">
        <v>257</v>
      </c>
      <c r="D20" s="97">
        <v>499</v>
      </c>
      <c r="E20" s="97">
        <v>67.27</v>
      </c>
      <c r="F20" s="97">
        <v>573</v>
      </c>
      <c r="G20" s="97">
        <v>76.650000000000006</v>
      </c>
      <c r="H20" s="97">
        <f t="shared" si="0"/>
        <v>74</v>
      </c>
      <c r="I20" s="241">
        <f t="shared" si="1"/>
        <v>9.3800000000000097</v>
      </c>
      <c r="J20" s="77"/>
      <c r="L20" s="97">
        <v>13</v>
      </c>
      <c r="M20" s="77" t="s">
        <v>100</v>
      </c>
      <c r="N20" s="97">
        <v>923</v>
      </c>
      <c r="O20" s="242">
        <v>59612</v>
      </c>
    </row>
    <row r="21" spans="1:15" ht="21.75" customHeight="1">
      <c r="B21" s="237">
        <v>17</v>
      </c>
      <c r="C21" s="1222" t="s">
        <v>258</v>
      </c>
      <c r="D21" s="97">
        <v>7</v>
      </c>
      <c r="E21" s="97">
        <v>0.94</v>
      </c>
      <c r="F21" s="97">
        <v>7</v>
      </c>
      <c r="G21" s="97">
        <v>0.94</v>
      </c>
      <c r="H21" s="97">
        <f t="shared" si="0"/>
        <v>0</v>
      </c>
      <c r="I21" s="241">
        <f t="shared" si="1"/>
        <v>0</v>
      </c>
      <c r="J21" s="77"/>
      <c r="L21" s="97">
        <v>14</v>
      </c>
      <c r="M21" s="77" t="s">
        <v>316</v>
      </c>
      <c r="N21" s="97">
        <v>708</v>
      </c>
      <c r="O21" s="242">
        <v>10035</v>
      </c>
    </row>
    <row r="22" spans="1:15" ht="21.75" customHeight="1">
      <c r="B22" s="237">
        <f>+B21+1</f>
        <v>18</v>
      </c>
      <c r="C22" s="1222" t="s">
        <v>259</v>
      </c>
      <c r="D22" s="97">
        <v>203</v>
      </c>
      <c r="E22" s="97">
        <v>27.36</v>
      </c>
      <c r="F22" s="97">
        <v>231</v>
      </c>
      <c r="G22" s="241">
        <v>30.9</v>
      </c>
      <c r="H22" s="97">
        <f t="shared" si="0"/>
        <v>28</v>
      </c>
      <c r="I22" s="241">
        <f t="shared" si="1"/>
        <v>3.5399999999999991</v>
      </c>
      <c r="J22" s="77"/>
      <c r="L22" s="97">
        <v>15</v>
      </c>
      <c r="M22" s="77" t="s">
        <v>352</v>
      </c>
      <c r="N22" s="97">
        <v>225</v>
      </c>
      <c r="O22" s="242">
        <v>3000</v>
      </c>
    </row>
    <row r="23" spans="1:15" ht="21.75" customHeight="1">
      <c r="B23" s="237">
        <v>19</v>
      </c>
      <c r="C23" s="1222" t="s">
        <v>260</v>
      </c>
      <c r="D23" s="97"/>
      <c r="E23" s="97"/>
      <c r="F23" s="97"/>
      <c r="G23" s="97"/>
      <c r="H23" s="97">
        <f t="shared" si="0"/>
        <v>0</v>
      </c>
      <c r="I23" s="241">
        <f t="shared" si="1"/>
        <v>0</v>
      </c>
      <c r="J23" s="77"/>
      <c r="L23" s="97">
        <v>16</v>
      </c>
      <c r="M23" s="243" t="s">
        <v>102</v>
      </c>
      <c r="N23" s="97">
        <v>1943</v>
      </c>
      <c r="O23" s="242">
        <v>2359.5</v>
      </c>
    </row>
    <row r="24" spans="1:15" ht="21.75" customHeight="1">
      <c r="B24" s="244">
        <f>+B23+1</f>
        <v>20</v>
      </c>
      <c r="C24" s="1223" t="s">
        <v>42</v>
      </c>
      <c r="D24" s="97">
        <v>10</v>
      </c>
      <c r="E24" s="97">
        <v>1.35</v>
      </c>
      <c r="F24" s="97">
        <v>14</v>
      </c>
      <c r="G24" s="97">
        <v>1.87</v>
      </c>
      <c r="H24" s="97">
        <f t="shared" si="0"/>
        <v>4</v>
      </c>
      <c r="I24" s="241">
        <f t="shared" si="1"/>
        <v>0.52</v>
      </c>
      <c r="J24" s="77"/>
      <c r="L24" s="97">
        <v>17</v>
      </c>
      <c r="M24" s="243" t="s">
        <v>21</v>
      </c>
      <c r="N24" s="97">
        <v>123</v>
      </c>
      <c r="O24" s="242">
        <v>986</v>
      </c>
    </row>
    <row r="25" spans="1:15" ht="21.75" customHeight="1">
      <c r="A25" s="517"/>
      <c r="B25" s="1709" t="s">
        <v>261</v>
      </c>
      <c r="C25" s="1710"/>
      <c r="D25" s="841">
        <v>2326</v>
      </c>
      <c r="E25" s="841">
        <v>313.55</v>
      </c>
      <c r="F25" s="841">
        <f>SUM(F5:F24)</f>
        <v>2234</v>
      </c>
      <c r="G25" s="841">
        <f>SUM(G5:G24)</f>
        <v>298.85999999999996</v>
      </c>
      <c r="H25" s="841">
        <f t="shared" si="0"/>
        <v>-92</v>
      </c>
      <c r="I25" s="842">
        <f t="shared" si="1"/>
        <v>-14.690000000000055</v>
      </c>
      <c r="J25" s="77"/>
      <c r="L25" s="97">
        <v>18</v>
      </c>
      <c r="M25" s="77" t="s">
        <v>101</v>
      </c>
      <c r="N25" s="97">
        <v>4734</v>
      </c>
      <c r="O25" s="242">
        <v>128650</v>
      </c>
    </row>
    <row r="26" spans="1:15" ht="21.75" customHeight="1">
      <c r="A26" s="517"/>
      <c r="B26" s="843">
        <v>21</v>
      </c>
      <c r="C26" s="163" t="s">
        <v>565</v>
      </c>
      <c r="D26" s="97">
        <v>492</v>
      </c>
      <c r="E26" s="97">
        <v>6.63</v>
      </c>
      <c r="F26" s="97">
        <v>499</v>
      </c>
      <c r="G26" s="97">
        <v>6.68</v>
      </c>
      <c r="H26" s="97">
        <f t="shared" si="0"/>
        <v>7</v>
      </c>
      <c r="I26" s="241">
        <f t="shared" si="1"/>
        <v>4.9999999999999822E-2</v>
      </c>
      <c r="J26" s="243"/>
      <c r="L26" s="235">
        <v>19</v>
      </c>
      <c r="M26" s="77" t="s">
        <v>4</v>
      </c>
      <c r="N26" s="97">
        <v>519</v>
      </c>
      <c r="O26" s="242">
        <v>5470.5</v>
      </c>
    </row>
    <row r="27" spans="1:15" ht="21.75" customHeight="1">
      <c r="A27" s="517"/>
      <c r="B27" s="1713" t="s">
        <v>275</v>
      </c>
      <c r="C27" s="163" t="s">
        <v>262</v>
      </c>
      <c r="D27" s="97">
        <v>40</v>
      </c>
      <c r="E27" s="97">
        <v>20</v>
      </c>
      <c r="F27" s="97">
        <v>28</v>
      </c>
      <c r="G27" s="97">
        <v>14.6</v>
      </c>
      <c r="H27" s="97">
        <f t="shared" si="0"/>
        <v>-12</v>
      </c>
      <c r="I27" s="241">
        <f t="shared" si="1"/>
        <v>-5.4</v>
      </c>
      <c r="J27" s="243"/>
      <c r="L27" s="235">
        <v>20</v>
      </c>
      <c r="M27" s="77" t="s">
        <v>569</v>
      </c>
      <c r="N27" s="97">
        <v>2454</v>
      </c>
      <c r="O27" s="97">
        <v>80276</v>
      </c>
    </row>
    <row r="28" spans="1:15" ht="21.75" customHeight="1">
      <c r="A28" s="517"/>
      <c r="B28" s="1713"/>
      <c r="C28" s="163" t="s">
        <v>263</v>
      </c>
      <c r="D28" s="97">
        <v>11</v>
      </c>
      <c r="E28" s="97">
        <v>5.5</v>
      </c>
      <c r="F28" s="97">
        <v>4</v>
      </c>
      <c r="G28" s="97">
        <v>2.1</v>
      </c>
      <c r="H28" s="97">
        <f t="shared" si="0"/>
        <v>-7</v>
      </c>
      <c r="I28" s="241">
        <f t="shared" si="1"/>
        <v>-3.4</v>
      </c>
      <c r="J28" s="243"/>
      <c r="L28" s="235">
        <v>21</v>
      </c>
      <c r="M28" s="77" t="s">
        <v>1227</v>
      </c>
      <c r="N28" s="97">
        <v>165</v>
      </c>
      <c r="O28" s="97">
        <v>3140</v>
      </c>
    </row>
    <row r="29" spans="1:15" ht="21.75" customHeight="1">
      <c r="A29" s="517"/>
      <c r="B29" s="1713"/>
      <c r="C29" s="163" t="s">
        <v>264</v>
      </c>
      <c r="D29" s="97">
        <v>134</v>
      </c>
      <c r="E29" s="97">
        <v>0.77</v>
      </c>
      <c r="F29" s="97">
        <v>146</v>
      </c>
      <c r="G29" s="97">
        <v>0.83</v>
      </c>
      <c r="H29" s="97">
        <f t="shared" si="0"/>
        <v>12</v>
      </c>
      <c r="I29" s="241">
        <f t="shared" si="1"/>
        <v>5.9999999999999942E-2</v>
      </c>
      <c r="J29" s="243"/>
      <c r="L29" s="235">
        <v>22</v>
      </c>
      <c r="M29" s="77" t="s">
        <v>570</v>
      </c>
      <c r="N29" s="97">
        <v>301</v>
      </c>
      <c r="O29" s="97">
        <v>60626</v>
      </c>
    </row>
    <row r="30" spans="1:15" ht="21.75" customHeight="1">
      <c r="A30" s="517"/>
      <c r="B30" s="1713"/>
      <c r="C30" s="163" t="s">
        <v>265</v>
      </c>
      <c r="D30" s="97">
        <v>32</v>
      </c>
      <c r="E30" s="242">
        <v>23.9</v>
      </c>
      <c r="F30" s="97">
        <v>30</v>
      </c>
      <c r="G30" s="242">
        <v>20.5</v>
      </c>
      <c r="H30" s="97">
        <f t="shared" si="0"/>
        <v>-2</v>
      </c>
      <c r="I30" s="241">
        <f t="shared" si="1"/>
        <v>-3.3999999999999986</v>
      </c>
      <c r="J30" s="243"/>
      <c r="L30" s="1714" t="s">
        <v>103</v>
      </c>
      <c r="M30" s="1715"/>
      <c r="N30" s="111">
        <f>SUM(N20:N29)</f>
        <v>12095</v>
      </c>
      <c r="O30" s="112">
        <f>SUM(O20:O29)</f>
        <v>354155</v>
      </c>
    </row>
    <row r="31" spans="1:15" ht="21.75" customHeight="1" thickBot="1">
      <c r="A31" s="517"/>
      <c r="B31" s="1713"/>
      <c r="C31" s="163" t="s">
        <v>266</v>
      </c>
      <c r="D31" s="97">
        <v>1</v>
      </c>
      <c r="E31" s="242">
        <v>50</v>
      </c>
      <c r="F31" s="97"/>
      <c r="G31" s="242">
        <v>1</v>
      </c>
      <c r="H31" s="242">
        <v>52</v>
      </c>
      <c r="I31" s="241">
        <f t="shared" si="1"/>
        <v>-49</v>
      </c>
      <c r="J31" s="246"/>
      <c r="L31" s="1714" t="s">
        <v>365</v>
      </c>
      <c r="M31" s="1715"/>
      <c r="N31" s="111">
        <f>SUM(N19+N30)</f>
        <v>243353</v>
      </c>
      <c r="O31" s="112">
        <f>SUM(O19+O30)</f>
        <v>917498.9</v>
      </c>
    </row>
    <row r="32" spans="1:15" ht="21.75" customHeight="1">
      <c r="A32" s="517"/>
      <c r="B32" s="1713"/>
      <c r="C32" s="77" t="s">
        <v>1228</v>
      </c>
      <c r="D32" s="97">
        <v>1993</v>
      </c>
      <c r="E32" s="97"/>
      <c r="F32" s="97">
        <v>1923</v>
      </c>
      <c r="G32" s="97"/>
      <c r="H32" s="242">
        <v>-7</v>
      </c>
      <c r="I32" s="97"/>
      <c r="O32" s="247"/>
    </row>
    <row r="33" spans="2:15" ht="18" customHeight="1"/>
    <row r="34" spans="2:15" ht="18" customHeight="1"/>
    <row r="35" spans="2:15" ht="18" customHeight="1"/>
    <row r="36" spans="2:15" ht="18" customHeight="1"/>
    <row r="37" spans="2:15" ht="18" customHeight="1"/>
    <row r="38" spans="2:15" ht="18" customHeight="1">
      <c r="B38" s="1657">
        <v>52</v>
      </c>
      <c r="C38" s="1657"/>
      <c r="D38" s="1657"/>
      <c r="E38" s="1657"/>
      <c r="F38" s="1657"/>
      <c r="G38" s="1657"/>
      <c r="H38" s="1657"/>
      <c r="I38" s="1657"/>
      <c r="L38" s="1657">
        <v>53</v>
      </c>
      <c r="M38" s="1657"/>
      <c r="N38" s="1657"/>
      <c r="O38" s="1657"/>
    </row>
    <row r="48" spans="2:15">
      <c r="B48" s="51"/>
    </row>
    <row r="51" spans="14:14">
      <c r="N51" s="234">
        <v>53</v>
      </c>
    </row>
  </sheetData>
  <mergeCells count="16">
    <mergeCell ref="N5:O5"/>
    <mergeCell ref="L38:O38"/>
    <mergeCell ref="B1:I1"/>
    <mergeCell ref="B25:C25"/>
    <mergeCell ref="C3:C4"/>
    <mergeCell ref="H2:I2"/>
    <mergeCell ref="B27:B32"/>
    <mergeCell ref="B38:I38"/>
    <mergeCell ref="L30:M30"/>
    <mergeCell ref="L31:M31"/>
    <mergeCell ref="L2:O2"/>
    <mergeCell ref="L19:M19"/>
    <mergeCell ref="B3:B4"/>
    <mergeCell ref="D3:E3"/>
    <mergeCell ref="F3:G3"/>
    <mergeCell ref="H3:I3"/>
  </mergeCells>
  <phoneticPr fontId="2" type="noConversion"/>
  <printOptions horizontalCentered="1" verticalCentered="1"/>
  <pageMargins left="0.39370078740157499" right="0.196850393700787" top="0.41" bottom="0.33" header="0.14000000000000001" footer="0"/>
  <pageSetup paperSize="9" orientation="portrait" horizontalDpi="4294967293" verticalDpi="14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6"/>
  <sheetViews>
    <sheetView workbookViewId="0">
      <selection activeCell="L25" sqref="L25"/>
    </sheetView>
  </sheetViews>
  <sheetFormatPr defaultRowHeight="12.75"/>
  <cols>
    <col min="1" max="1" width="5.140625" customWidth="1"/>
    <col min="2" max="2" width="15" customWidth="1"/>
    <col min="3" max="3" width="10.85546875" customWidth="1"/>
    <col min="4" max="4" width="9.85546875" customWidth="1"/>
    <col min="7" max="7" width="10.5703125" customWidth="1"/>
  </cols>
  <sheetData>
    <row r="1" spans="1:14" ht="14.25">
      <c r="A1" s="778"/>
      <c r="B1" s="778"/>
      <c r="C1" s="780" t="s">
        <v>1551</v>
      </c>
      <c r="D1" s="779"/>
      <c r="E1" s="779"/>
      <c r="F1" s="779"/>
      <c r="G1" s="779"/>
      <c r="H1" s="779"/>
      <c r="I1" s="779"/>
      <c r="J1" s="779"/>
      <c r="K1" s="779"/>
      <c r="L1" s="778"/>
      <c r="M1" s="778"/>
      <c r="N1" s="778"/>
    </row>
    <row r="2" spans="1:14" ht="14.25">
      <c r="A2" s="778"/>
      <c r="B2" s="782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</row>
    <row r="3" spans="1:14" ht="14.25">
      <c r="A3" s="1730" t="s">
        <v>1225</v>
      </c>
      <c r="B3" s="1730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1731" t="s">
        <v>1552</v>
      </c>
      <c r="N3" s="1731"/>
    </row>
    <row r="4" spans="1:14" ht="14.25">
      <c r="A4" s="1721" t="s">
        <v>1023</v>
      </c>
      <c r="B4" s="1724" t="s">
        <v>1553</v>
      </c>
      <c r="C4" s="1727" t="s">
        <v>1554</v>
      </c>
      <c r="D4" s="1728"/>
      <c r="E4" s="1728"/>
      <c r="F4" s="1728"/>
      <c r="G4" s="1728"/>
      <c r="H4" s="1728"/>
      <c r="I4" s="1728"/>
      <c r="J4" s="1728"/>
      <c r="K4" s="1728"/>
      <c r="L4" s="1728"/>
      <c r="M4" s="1728"/>
      <c r="N4" s="1729"/>
    </row>
    <row r="5" spans="1:14">
      <c r="A5" s="1722"/>
      <c r="B5" s="1725"/>
      <c r="C5" s="1719" t="s">
        <v>1555</v>
      </c>
      <c r="D5" s="1719" t="s">
        <v>1556</v>
      </c>
      <c r="E5" s="1719" t="s">
        <v>1557</v>
      </c>
      <c r="F5" s="1719" t="s">
        <v>1556</v>
      </c>
      <c r="G5" s="1719" t="s">
        <v>1558</v>
      </c>
      <c r="H5" s="1719" t="s">
        <v>1556</v>
      </c>
      <c r="I5" s="1719" t="s">
        <v>1559</v>
      </c>
      <c r="J5" s="1719" t="s">
        <v>1556</v>
      </c>
      <c r="K5" s="1719" t="s">
        <v>1560</v>
      </c>
      <c r="L5" s="1719" t="s">
        <v>1556</v>
      </c>
      <c r="M5" s="1719" t="s">
        <v>1561</v>
      </c>
      <c r="N5" s="1719" t="s">
        <v>1556</v>
      </c>
    </row>
    <row r="6" spans="1:14" ht="64.5" customHeight="1">
      <c r="A6" s="1723"/>
      <c r="B6" s="1726"/>
      <c r="C6" s="1720"/>
      <c r="D6" s="1720"/>
      <c r="E6" s="1720"/>
      <c r="F6" s="1720"/>
      <c r="G6" s="1720"/>
      <c r="H6" s="1720"/>
      <c r="I6" s="1720"/>
      <c r="J6" s="1720"/>
      <c r="K6" s="1720"/>
      <c r="L6" s="1720"/>
      <c r="M6" s="1720"/>
      <c r="N6" s="1720"/>
    </row>
    <row r="7" spans="1:14" ht="20.25" customHeight="1">
      <c r="A7" s="781">
        <v>1</v>
      </c>
      <c r="B7" s="783" t="s">
        <v>631</v>
      </c>
      <c r="C7" s="1173">
        <v>354</v>
      </c>
      <c r="D7" s="1173">
        <v>709287.1</v>
      </c>
      <c r="E7" s="1173">
        <v>42</v>
      </c>
      <c r="F7" s="1173">
        <v>1751.8</v>
      </c>
      <c r="G7" s="1173">
        <v>32</v>
      </c>
      <c r="H7" s="1173">
        <v>16384.8</v>
      </c>
      <c r="I7" s="1173">
        <v>17</v>
      </c>
      <c r="J7" s="1174">
        <v>5100</v>
      </c>
      <c r="K7" s="1173">
        <v>1</v>
      </c>
      <c r="L7" s="1173">
        <v>2246.8000000000002</v>
      </c>
      <c r="M7" s="1173">
        <v>15</v>
      </c>
      <c r="N7" s="1173">
        <v>6670.7</v>
      </c>
    </row>
    <row r="8" spans="1:14" ht="20.25" customHeight="1">
      <c r="A8" s="781">
        <v>2</v>
      </c>
      <c r="B8" s="783" t="s">
        <v>1562</v>
      </c>
      <c r="C8" s="1173">
        <v>560</v>
      </c>
      <c r="D8" s="1173">
        <v>1166781</v>
      </c>
      <c r="E8" s="1173">
        <v>33</v>
      </c>
      <c r="F8" s="1173">
        <v>1831</v>
      </c>
      <c r="G8" s="1173">
        <v>52</v>
      </c>
      <c r="H8" s="1173">
        <v>29282.1</v>
      </c>
      <c r="I8" s="1173">
        <v>25</v>
      </c>
      <c r="J8" s="1174">
        <v>7500</v>
      </c>
      <c r="K8" s="1173">
        <v>4</v>
      </c>
      <c r="L8" s="1173">
        <v>8135.1</v>
      </c>
      <c r="M8" s="1173">
        <v>6</v>
      </c>
      <c r="N8" s="1173">
        <v>1799.6</v>
      </c>
    </row>
    <row r="9" spans="1:14" ht="20.25" customHeight="1">
      <c r="A9" s="781">
        <v>3</v>
      </c>
      <c r="B9" s="783" t="s">
        <v>589</v>
      </c>
      <c r="C9" s="1173">
        <v>231</v>
      </c>
      <c r="D9" s="1173">
        <v>449150</v>
      </c>
      <c r="E9" s="1173">
        <v>20</v>
      </c>
      <c r="F9" s="1173">
        <v>631.29999999999995</v>
      </c>
      <c r="G9" s="1173">
        <v>20</v>
      </c>
      <c r="H9" s="1173">
        <v>12850.9</v>
      </c>
      <c r="I9" s="1173">
        <v>7</v>
      </c>
      <c r="J9" s="1174">
        <v>2100</v>
      </c>
      <c r="K9" s="1173">
        <v>1</v>
      </c>
      <c r="L9" s="1173">
        <v>1968.6</v>
      </c>
      <c r="M9" s="1173">
        <v>1</v>
      </c>
      <c r="N9" s="1173">
        <v>278</v>
      </c>
    </row>
    <row r="10" spans="1:14" ht="20.25" customHeight="1">
      <c r="A10" s="781">
        <v>4</v>
      </c>
      <c r="B10" s="783" t="s">
        <v>590</v>
      </c>
      <c r="C10" s="1173">
        <v>187</v>
      </c>
      <c r="D10" s="1173">
        <v>359748.8</v>
      </c>
      <c r="E10" s="1173">
        <v>26</v>
      </c>
      <c r="F10" s="1173">
        <v>1535.8</v>
      </c>
      <c r="G10" s="1173">
        <v>14</v>
      </c>
      <c r="H10" s="1173">
        <v>8255.5</v>
      </c>
      <c r="I10" s="1173">
        <v>10</v>
      </c>
      <c r="J10" s="1174">
        <v>3000</v>
      </c>
      <c r="K10" s="1173">
        <v>3</v>
      </c>
      <c r="L10" s="1173">
        <v>232</v>
      </c>
      <c r="M10" s="1173">
        <v>2</v>
      </c>
      <c r="N10" s="1173">
        <v>1258.9000000000001</v>
      </c>
    </row>
    <row r="11" spans="1:14" ht="20.25" customHeight="1">
      <c r="A11" s="781">
        <v>5</v>
      </c>
      <c r="B11" s="783" t="s">
        <v>591</v>
      </c>
      <c r="C11" s="1173">
        <v>161</v>
      </c>
      <c r="D11" s="1173">
        <v>266636.40000000002</v>
      </c>
      <c r="E11" s="1173">
        <v>6</v>
      </c>
      <c r="F11" s="1173">
        <v>248.3</v>
      </c>
      <c r="G11" s="1173">
        <v>14</v>
      </c>
      <c r="H11" s="1173">
        <v>7771.6</v>
      </c>
      <c r="I11" s="1173">
        <v>12</v>
      </c>
      <c r="J11" s="1174">
        <v>3600</v>
      </c>
      <c r="K11" s="1173"/>
      <c r="L11" s="1173"/>
      <c r="M11" s="1173">
        <v>2</v>
      </c>
      <c r="N11" s="1173">
        <v>990.2</v>
      </c>
    </row>
    <row r="12" spans="1:14" ht="20.25" customHeight="1">
      <c r="A12" s="781">
        <v>6</v>
      </c>
      <c r="B12" s="784" t="s">
        <v>592</v>
      </c>
      <c r="C12" s="1173">
        <v>330</v>
      </c>
      <c r="D12" s="1173">
        <v>669934.19999999995</v>
      </c>
      <c r="E12" s="1173"/>
      <c r="F12" s="1173"/>
      <c r="G12" s="1173">
        <v>25</v>
      </c>
      <c r="H12" s="1173">
        <v>17536.8</v>
      </c>
      <c r="I12" s="1173">
        <v>20</v>
      </c>
      <c r="J12" s="1174">
        <v>6000</v>
      </c>
      <c r="K12" s="1173">
        <v>3</v>
      </c>
      <c r="L12" s="1173">
        <v>540.9</v>
      </c>
      <c r="M12" s="1173">
        <v>4</v>
      </c>
      <c r="N12" s="1173">
        <v>1517.6</v>
      </c>
    </row>
    <row r="13" spans="1:14" ht="20.25" customHeight="1">
      <c r="A13" s="781">
        <v>7</v>
      </c>
      <c r="B13" s="784" t="s">
        <v>593</v>
      </c>
      <c r="C13" s="1173">
        <v>195</v>
      </c>
      <c r="D13" s="1173">
        <v>242253.1</v>
      </c>
      <c r="E13" s="1173">
        <v>17</v>
      </c>
      <c r="F13" s="1173">
        <v>778.5</v>
      </c>
      <c r="G13" s="1173">
        <v>10</v>
      </c>
      <c r="H13" s="1173">
        <v>6122.1</v>
      </c>
      <c r="I13" s="1173">
        <v>18</v>
      </c>
      <c r="J13" s="1174">
        <v>5400</v>
      </c>
      <c r="K13" s="1173">
        <v>1</v>
      </c>
      <c r="L13" s="1173">
        <v>1968.6</v>
      </c>
      <c r="M13" s="1173"/>
      <c r="N13" s="1173"/>
    </row>
    <row r="14" spans="1:14" ht="20.25" customHeight="1">
      <c r="A14" s="781">
        <v>8</v>
      </c>
      <c r="B14" s="784" t="s">
        <v>595</v>
      </c>
      <c r="C14" s="1173">
        <v>274</v>
      </c>
      <c r="D14" s="1173">
        <v>592516.1</v>
      </c>
      <c r="E14" s="1173">
        <v>64</v>
      </c>
      <c r="F14" s="1173">
        <v>2818.5</v>
      </c>
      <c r="G14" s="1173">
        <v>43</v>
      </c>
      <c r="H14" s="1173">
        <v>26819.4</v>
      </c>
      <c r="I14" s="1173">
        <v>8</v>
      </c>
      <c r="J14" s="1174">
        <v>2400</v>
      </c>
      <c r="K14" s="1173"/>
      <c r="L14" s="1173"/>
      <c r="M14" s="1173">
        <v>10</v>
      </c>
      <c r="N14" s="1173">
        <v>4257.6000000000004</v>
      </c>
    </row>
    <row r="15" spans="1:14" ht="20.25" customHeight="1">
      <c r="A15" s="781">
        <v>9</v>
      </c>
      <c r="B15" s="784" t="s">
        <v>1040</v>
      </c>
      <c r="C15" s="1173">
        <v>184</v>
      </c>
      <c r="D15" s="1173">
        <v>348092.7</v>
      </c>
      <c r="E15" s="1173">
        <v>9</v>
      </c>
      <c r="F15" s="1173">
        <v>270.39999999999998</v>
      </c>
      <c r="G15" s="1173">
        <v>14</v>
      </c>
      <c r="H15" s="1173">
        <v>8381.7000000000007</v>
      </c>
      <c r="I15" s="1173">
        <v>6</v>
      </c>
      <c r="J15" s="1174">
        <v>1800</v>
      </c>
      <c r="K15" s="1173">
        <v>1</v>
      </c>
      <c r="L15" s="1173">
        <v>1968.6</v>
      </c>
      <c r="M15" s="1173">
        <v>5</v>
      </c>
      <c r="N15" s="1173">
        <v>2077.4</v>
      </c>
    </row>
    <row r="16" spans="1:14" ht="20.25" customHeight="1">
      <c r="A16" s="781">
        <v>10</v>
      </c>
      <c r="B16" s="784" t="s">
        <v>1563</v>
      </c>
      <c r="C16" s="1173">
        <v>363</v>
      </c>
      <c r="D16" s="1173">
        <v>536028.80000000005</v>
      </c>
      <c r="E16" s="1173">
        <v>27</v>
      </c>
      <c r="F16" s="1173">
        <v>1054.2</v>
      </c>
      <c r="G16" s="1173">
        <v>28</v>
      </c>
      <c r="H16" s="1173">
        <v>17255.7</v>
      </c>
      <c r="I16" s="1173">
        <v>23</v>
      </c>
      <c r="J16" s="1174">
        <v>6900</v>
      </c>
      <c r="K16" s="1173"/>
      <c r="L16" s="1173"/>
      <c r="M16" s="1173">
        <v>5</v>
      </c>
      <c r="N16" s="1173">
        <v>1385.9</v>
      </c>
    </row>
    <row r="17" spans="1:14" ht="20.25" customHeight="1">
      <c r="A17" s="781">
        <v>11</v>
      </c>
      <c r="B17" s="784" t="s">
        <v>1564</v>
      </c>
      <c r="C17" s="1173">
        <v>343</v>
      </c>
      <c r="D17" s="1173">
        <v>635426.1</v>
      </c>
      <c r="E17" s="1173">
        <v>49</v>
      </c>
      <c r="F17" s="1173">
        <v>2029.5</v>
      </c>
      <c r="G17" s="1173">
        <v>20</v>
      </c>
      <c r="H17" s="1173">
        <v>12947.8</v>
      </c>
      <c r="I17" s="1173">
        <v>10</v>
      </c>
      <c r="J17" s="1174">
        <v>3000</v>
      </c>
      <c r="K17" s="1173">
        <v>2</v>
      </c>
      <c r="L17" s="1173">
        <v>4009.4</v>
      </c>
      <c r="M17" s="1173">
        <v>1</v>
      </c>
      <c r="N17" s="1173">
        <v>377.4</v>
      </c>
    </row>
    <row r="18" spans="1:14" ht="20.25" customHeight="1">
      <c r="A18" s="781">
        <v>12</v>
      </c>
      <c r="B18" s="784" t="s">
        <v>596</v>
      </c>
      <c r="C18" s="1173">
        <v>200</v>
      </c>
      <c r="D18" s="1173">
        <v>392467.1</v>
      </c>
      <c r="E18" s="1173">
        <v>69</v>
      </c>
      <c r="F18" s="1173">
        <v>4652.8</v>
      </c>
      <c r="G18" s="1173">
        <v>15</v>
      </c>
      <c r="H18" s="1173">
        <v>6055.7</v>
      </c>
      <c r="I18" s="1173">
        <v>4</v>
      </c>
      <c r="J18" s="1174">
        <v>1200</v>
      </c>
      <c r="K18" s="1173">
        <v>3</v>
      </c>
      <c r="L18" s="1173">
        <v>6903.5</v>
      </c>
      <c r="M18" s="1173">
        <v>1</v>
      </c>
      <c r="N18" s="1173">
        <v>762.3</v>
      </c>
    </row>
    <row r="19" spans="1:14" ht="20.25" customHeight="1">
      <c r="A19" s="781">
        <v>13</v>
      </c>
      <c r="B19" s="784" t="s">
        <v>598</v>
      </c>
      <c r="C19" s="1173">
        <v>174</v>
      </c>
      <c r="D19" s="1173">
        <v>286212.5</v>
      </c>
      <c r="E19" s="1173">
        <v>25</v>
      </c>
      <c r="F19" s="1173">
        <v>1073.5</v>
      </c>
      <c r="G19" s="1173">
        <v>16</v>
      </c>
      <c r="H19" s="1173">
        <v>8421.4</v>
      </c>
      <c r="I19" s="1173">
        <v>5</v>
      </c>
      <c r="J19" s="1174">
        <v>1500</v>
      </c>
      <c r="K19" s="1173"/>
      <c r="L19" s="1173"/>
      <c r="M19" s="1173">
        <v>2</v>
      </c>
      <c r="N19" s="1173">
        <v>385.5</v>
      </c>
    </row>
    <row r="20" spans="1:14" ht="20.25" customHeight="1">
      <c r="A20" s="781">
        <v>14</v>
      </c>
      <c r="B20" s="783" t="s">
        <v>599</v>
      </c>
      <c r="C20" s="1173">
        <v>6114</v>
      </c>
      <c r="D20" s="1173">
        <v>12786332.800000001</v>
      </c>
      <c r="E20" s="1173">
        <v>1707</v>
      </c>
      <c r="F20" s="1173">
        <v>141757.9</v>
      </c>
      <c r="G20" s="1173">
        <v>581</v>
      </c>
      <c r="H20" s="1173">
        <v>404574.2</v>
      </c>
      <c r="I20" s="1173">
        <v>242</v>
      </c>
      <c r="J20" s="1174">
        <v>72600</v>
      </c>
      <c r="K20" s="1173">
        <f>23+127</f>
        <v>150</v>
      </c>
      <c r="L20" s="1173">
        <f>12249.7+381972.9</f>
        <v>394222.60000000003</v>
      </c>
      <c r="M20" s="1173">
        <v>154</v>
      </c>
      <c r="N20" s="1173">
        <v>79504.399999999994</v>
      </c>
    </row>
    <row r="21" spans="1:14" ht="20.25" customHeight="1">
      <c r="A21" s="781"/>
      <c r="B21" s="1173" t="s">
        <v>1565</v>
      </c>
      <c r="C21" s="1173">
        <f t="shared" ref="C21:H21" si="0">SUM(C7:C20)</f>
        <v>9670</v>
      </c>
      <c r="D21" s="1173">
        <f t="shared" si="0"/>
        <v>19440866.699999999</v>
      </c>
      <c r="E21" s="1173">
        <f t="shared" si="0"/>
        <v>2094</v>
      </c>
      <c r="F21" s="1173">
        <f t="shared" si="0"/>
        <v>160433.5</v>
      </c>
      <c r="G21" s="1173">
        <f t="shared" si="0"/>
        <v>884</v>
      </c>
      <c r="H21" s="1173">
        <f t="shared" si="0"/>
        <v>582659.70000000007</v>
      </c>
      <c r="I21" s="1173">
        <f t="shared" ref="I21:N21" si="1">SUM(I7:I20)</f>
        <v>407</v>
      </c>
      <c r="J21" s="1173">
        <f t="shared" si="1"/>
        <v>122100</v>
      </c>
      <c r="K21" s="1173">
        <f t="shared" si="1"/>
        <v>169</v>
      </c>
      <c r="L21" s="1173">
        <f t="shared" si="1"/>
        <v>422196.10000000003</v>
      </c>
      <c r="M21" s="1173">
        <f t="shared" si="1"/>
        <v>208</v>
      </c>
      <c r="N21" s="1173">
        <f t="shared" si="1"/>
        <v>101265.5</v>
      </c>
    </row>
    <row r="26" spans="1:14">
      <c r="A26" s="1462">
        <v>54</v>
      </c>
      <c r="B26" s="1462"/>
      <c r="C26" s="1462"/>
      <c r="D26" s="1462"/>
      <c r="E26" s="1462"/>
      <c r="F26" s="1462"/>
      <c r="G26" s="1462"/>
      <c r="H26" s="1462"/>
      <c r="I26" s="1462"/>
      <c r="J26" s="1462"/>
      <c r="K26" s="1462"/>
      <c r="L26" s="1462"/>
      <c r="M26" s="1462"/>
      <c r="N26" s="1462"/>
    </row>
  </sheetData>
  <mergeCells count="18">
    <mergeCell ref="A3:B3"/>
    <mergeCell ref="M3:N3"/>
    <mergeCell ref="A26:N26"/>
    <mergeCell ref="H5:H6"/>
    <mergeCell ref="I5:I6"/>
    <mergeCell ref="J5:J6"/>
    <mergeCell ref="K5:K6"/>
    <mergeCell ref="L5:L6"/>
    <mergeCell ref="M5:M6"/>
    <mergeCell ref="A4:A6"/>
    <mergeCell ref="B4:B6"/>
    <mergeCell ref="C4:N4"/>
    <mergeCell ref="C5:C6"/>
    <mergeCell ref="D5:D6"/>
    <mergeCell ref="E5:E6"/>
    <mergeCell ref="F5:F6"/>
    <mergeCell ref="G5:G6"/>
    <mergeCell ref="N5:N6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G37"/>
  <sheetViews>
    <sheetView workbookViewId="0">
      <selection activeCell="AK32" sqref="AK32"/>
    </sheetView>
  </sheetViews>
  <sheetFormatPr defaultRowHeight="12.75"/>
  <cols>
    <col min="1" max="1" width="10.42578125" style="84" customWidth="1"/>
    <col min="2" max="2" width="5" style="84" customWidth="1"/>
    <col min="3" max="3" width="4.28515625" style="84" customWidth="1"/>
    <col min="4" max="4" width="4" style="84" customWidth="1"/>
    <col min="5" max="5" width="4.42578125" style="84" customWidth="1"/>
    <col min="6" max="6" width="3.7109375" style="84" customWidth="1"/>
    <col min="7" max="7" width="3.42578125" style="84" customWidth="1"/>
    <col min="8" max="8" width="4.140625" style="84" customWidth="1"/>
    <col min="9" max="9" width="3.42578125" style="84" customWidth="1"/>
    <col min="10" max="10" width="3.7109375" style="84" customWidth="1"/>
    <col min="11" max="11" width="3.42578125" style="84" customWidth="1"/>
    <col min="12" max="12" width="4" style="84" customWidth="1"/>
    <col min="13" max="13" width="3.28515625" style="84" customWidth="1"/>
    <col min="14" max="14" width="4" style="84" customWidth="1"/>
    <col min="15" max="15" width="3.42578125" style="84" customWidth="1"/>
    <col min="16" max="16" width="4.28515625" style="84" customWidth="1"/>
    <col min="17" max="17" width="4" style="84" customWidth="1"/>
    <col min="18" max="18" width="4.5703125" style="84" customWidth="1"/>
    <col min="19" max="19" width="3.5703125" style="84" customWidth="1"/>
    <col min="20" max="20" width="4.140625" style="84" customWidth="1"/>
    <col min="21" max="21" width="3.28515625" style="84" customWidth="1"/>
    <col min="22" max="25" width="3.42578125" style="84" customWidth="1"/>
    <col min="26" max="26" width="4.28515625" style="84" customWidth="1"/>
    <col min="27" max="28" width="4.140625" style="84" customWidth="1"/>
    <col min="29" max="29" width="3.7109375" style="84" customWidth="1"/>
    <col min="30" max="30" width="4.28515625" style="84" customWidth="1"/>
    <col min="31" max="32" width="3.42578125" style="84" customWidth="1"/>
    <col min="33" max="33" width="3" style="84" customWidth="1"/>
    <col min="34" max="16384" width="9.140625" style="84"/>
  </cols>
  <sheetData>
    <row r="1" spans="1:33" s="99" customFormat="1" ht="18" customHeight="1">
      <c r="A1" s="1231"/>
      <c r="B1" s="1232"/>
      <c r="C1" s="1232"/>
      <c r="D1" s="1232"/>
      <c r="E1" s="1232"/>
      <c r="F1" s="1232"/>
      <c r="G1" s="1233"/>
      <c r="H1" s="1234"/>
      <c r="I1" s="1234"/>
      <c r="J1" s="1235"/>
      <c r="K1" s="1235"/>
      <c r="L1" s="1236"/>
      <c r="M1" s="1237"/>
      <c r="N1" s="1237"/>
      <c r="O1" s="1237"/>
      <c r="P1" s="1237"/>
      <c r="Q1" s="1237"/>
      <c r="R1" s="1237"/>
      <c r="S1" s="1237"/>
      <c r="T1" s="1236"/>
      <c r="U1" s="1236"/>
      <c r="V1" s="1237"/>
      <c r="W1" s="1236"/>
      <c r="X1" s="1238"/>
      <c r="Y1" s="1237"/>
      <c r="Z1" s="1237"/>
      <c r="AA1" s="1237"/>
      <c r="AB1" s="1237"/>
      <c r="AC1" s="1237"/>
      <c r="AD1" s="1237"/>
      <c r="AE1" s="1237"/>
      <c r="AF1" s="1237"/>
      <c r="AG1" s="1237"/>
    </row>
    <row r="2" spans="1:33">
      <c r="A2" s="1732" t="s">
        <v>2301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</row>
    <row r="3" spans="1:33">
      <c r="A3" s="1733" t="s">
        <v>2302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  <c r="O3" s="1733"/>
      <c r="P3" s="1733"/>
      <c r="Q3" s="1733"/>
      <c r="R3" s="1733"/>
      <c r="S3" s="1733"/>
      <c r="T3" s="1733"/>
      <c r="U3" s="1733"/>
      <c r="V3" s="1733"/>
      <c r="W3" s="1733"/>
      <c r="X3" s="1733"/>
      <c r="Y3" s="1733"/>
      <c r="Z3" s="1733"/>
      <c r="AA3" s="1733"/>
      <c r="AB3" s="1733"/>
      <c r="AC3" s="1733"/>
      <c r="AD3" s="1733"/>
      <c r="AE3" s="1733"/>
      <c r="AF3" s="1733"/>
      <c r="AG3" s="1733"/>
    </row>
    <row r="4" spans="1:33">
      <c r="A4" s="1231"/>
      <c r="B4" s="1232"/>
      <c r="C4" s="1232"/>
      <c r="D4" s="1232"/>
      <c r="E4" s="1232"/>
      <c r="F4" s="1232"/>
      <c r="G4" s="1232"/>
      <c r="H4" s="1232"/>
      <c r="I4" s="1232"/>
      <c r="J4" s="1235"/>
      <c r="K4" s="1235"/>
      <c r="L4" s="1236"/>
      <c r="M4" s="1237"/>
      <c r="N4" s="1237"/>
      <c r="O4" s="1237"/>
      <c r="P4" s="1237"/>
      <c r="Q4" s="1237"/>
      <c r="R4" s="1237"/>
      <c r="S4" s="1237"/>
      <c r="T4" s="1236"/>
      <c r="U4" s="1236"/>
      <c r="V4" s="1237"/>
      <c r="W4" s="1236"/>
      <c r="X4" s="1238"/>
      <c r="Y4" s="1237"/>
      <c r="Z4" s="1237"/>
      <c r="AA4" s="1237"/>
      <c r="AB4" s="1237"/>
      <c r="AC4" s="1237"/>
      <c r="AD4" s="1237"/>
      <c r="AE4" s="1237"/>
      <c r="AF4" s="1237"/>
      <c r="AG4" s="1237"/>
    </row>
    <row r="5" spans="1:33">
      <c r="A5" s="1734" t="s">
        <v>2303</v>
      </c>
      <c r="B5" s="1735" t="s">
        <v>276</v>
      </c>
      <c r="C5" s="1735"/>
      <c r="D5" s="1736" t="s">
        <v>2304</v>
      </c>
      <c r="E5" s="1737"/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6" t="s">
        <v>2305</v>
      </c>
      <c r="Q5" s="1737"/>
      <c r="R5" s="1737"/>
      <c r="S5" s="1737"/>
      <c r="T5" s="1737"/>
      <c r="U5" s="1737"/>
      <c r="V5" s="1737"/>
      <c r="W5" s="1737"/>
      <c r="X5" s="1737"/>
      <c r="Y5" s="1737"/>
      <c r="Z5" s="1738" t="s">
        <v>2306</v>
      </c>
      <c r="AA5" s="1738"/>
      <c r="AB5" s="1738"/>
      <c r="AC5" s="1738"/>
      <c r="AD5" s="1738"/>
      <c r="AE5" s="1738"/>
      <c r="AF5" s="1738"/>
      <c r="AG5" s="1738"/>
    </row>
    <row r="6" spans="1:33" s="306" customFormat="1">
      <c r="A6" s="1734"/>
      <c r="B6" s="1735"/>
      <c r="C6" s="1735"/>
      <c r="D6" s="1738" t="s">
        <v>276</v>
      </c>
      <c r="E6" s="1738"/>
      <c r="F6" s="1734" t="s">
        <v>1008</v>
      </c>
      <c r="G6" s="1734"/>
      <c r="H6" s="1734" t="s">
        <v>1009</v>
      </c>
      <c r="I6" s="1734"/>
      <c r="J6" s="1734" t="s">
        <v>1010</v>
      </c>
      <c r="K6" s="1734"/>
      <c r="L6" s="1734" t="s">
        <v>1112</v>
      </c>
      <c r="M6" s="1734"/>
      <c r="N6" s="1734" t="s">
        <v>1113</v>
      </c>
      <c r="O6" s="1734"/>
      <c r="P6" s="1735" t="s">
        <v>276</v>
      </c>
      <c r="Q6" s="1735"/>
      <c r="R6" s="1734" t="s">
        <v>2307</v>
      </c>
      <c r="S6" s="1734"/>
      <c r="T6" s="1734" t="s">
        <v>2308</v>
      </c>
      <c r="U6" s="1734"/>
      <c r="V6" s="1734" t="s">
        <v>1114</v>
      </c>
      <c r="W6" s="1734"/>
      <c r="X6" s="1734" t="s">
        <v>1115</v>
      </c>
      <c r="Y6" s="1734"/>
      <c r="Z6" s="1738" t="s">
        <v>276</v>
      </c>
      <c r="AA6" s="1738"/>
      <c r="AB6" s="1734" t="s">
        <v>1116</v>
      </c>
      <c r="AC6" s="1734"/>
      <c r="AD6" s="1734" t="s">
        <v>1117</v>
      </c>
      <c r="AE6" s="1734"/>
      <c r="AF6" s="1734" t="s">
        <v>1118</v>
      </c>
      <c r="AG6" s="1734"/>
    </row>
    <row r="7" spans="1:33">
      <c r="A7" s="1734"/>
      <c r="B7" s="1240" t="s">
        <v>2309</v>
      </c>
      <c r="C7" s="1240" t="s">
        <v>272</v>
      </c>
      <c r="D7" s="1240" t="s">
        <v>2309</v>
      </c>
      <c r="E7" s="1240" t="s">
        <v>272</v>
      </c>
      <c r="F7" s="1240" t="s">
        <v>2309</v>
      </c>
      <c r="G7" s="1240" t="s">
        <v>272</v>
      </c>
      <c r="H7" s="1240" t="s">
        <v>2309</v>
      </c>
      <c r="I7" s="1240" t="s">
        <v>272</v>
      </c>
      <c r="J7" s="1240" t="s">
        <v>2309</v>
      </c>
      <c r="K7" s="1240" t="s">
        <v>272</v>
      </c>
      <c r="L7" s="1240" t="s">
        <v>2309</v>
      </c>
      <c r="M7" s="1240" t="s">
        <v>272</v>
      </c>
      <c r="N7" s="1240" t="s">
        <v>2309</v>
      </c>
      <c r="O7" s="1240" t="s">
        <v>272</v>
      </c>
      <c r="P7" s="1240" t="s">
        <v>2309</v>
      </c>
      <c r="Q7" s="1240" t="s">
        <v>272</v>
      </c>
      <c r="R7" s="1240" t="s">
        <v>2309</v>
      </c>
      <c r="S7" s="1240" t="s">
        <v>272</v>
      </c>
      <c r="T7" s="1240" t="s">
        <v>2309</v>
      </c>
      <c r="U7" s="1240" t="s">
        <v>272</v>
      </c>
      <c r="V7" s="1240" t="s">
        <v>2309</v>
      </c>
      <c r="W7" s="1240" t="s">
        <v>272</v>
      </c>
      <c r="X7" s="1240" t="s">
        <v>2309</v>
      </c>
      <c r="Y7" s="1240" t="s">
        <v>272</v>
      </c>
      <c r="Z7" s="1240" t="s">
        <v>2309</v>
      </c>
      <c r="AA7" s="1240" t="s">
        <v>272</v>
      </c>
      <c r="AB7" s="1240" t="s">
        <v>2309</v>
      </c>
      <c r="AC7" s="1240" t="s">
        <v>272</v>
      </c>
      <c r="AD7" s="1240" t="s">
        <v>2309</v>
      </c>
      <c r="AE7" s="1240" t="s">
        <v>272</v>
      </c>
      <c r="AF7" s="1240" t="s">
        <v>2309</v>
      </c>
      <c r="AG7" s="1240" t="s">
        <v>272</v>
      </c>
    </row>
    <row r="8" spans="1:33">
      <c r="A8" s="1241" t="s">
        <v>277</v>
      </c>
      <c r="B8" s="1241" t="s">
        <v>979</v>
      </c>
      <c r="C8" s="1241" t="s">
        <v>965</v>
      </c>
      <c r="D8" s="1241" t="s">
        <v>966</v>
      </c>
      <c r="E8" s="1241" t="s">
        <v>967</v>
      </c>
      <c r="F8" s="1241" t="s">
        <v>968</v>
      </c>
      <c r="G8" s="1241" t="s">
        <v>969</v>
      </c>
      <c r="H8" s="1241" t="s">
        <v>970</v>
      </c>
      <c r="I8" s="1241" t="s">
        <v>971</v>
      </c>
      <c r="J8" s="1241" t="s">
        <v>972</v>
      </c>
      <c r="K8" s="1241" t="s">
        <v>973</v>
      </c>
      <c r="L8" s="1241" t="s">
        <v>974</v>
      </c>
      <c r="M8" s="1241" t="s">
        <v>11</v>
      </c>
      <c r="N8" s="1241" t="s">
        <v>975</v>
      </c>
      <c r="O8" s="1241" t="s">
        <v>976</v>
      </c>
      <c r="P8" s="1241" t="s">
        <v>977</v>
      </c>
      <c r="Q8" s="1241" t="s">
        <v>1012</v>
      </c>
      <c r="R8" s="1241" t="s">
        <v>1013</v>
      </c>
      <c r="S8" s="1241" t="s">
        <v>1014</v>
      </c>
      <c r="T8" s="1241" t="s">
        <v>1015</v>
      </c>
      <c r="U8" s="1241" t="s">
        <v>1016</v>
      </c>
      <c r="V8" s="1241" t="s">
        <v>1017</v>
      </c>
      <c r="W8" s="1241" t="s">
        <v>12</v>
      </c>
      <c r="X8" s="1241" t="s">
        <v>13</v>
      </c>
      <c r="Y8" s="1241" t="s">
        <v>14</v>
      </c>
      <c r="Z8" s="1241" t="s">
        <v>15</v>
      </c>
      <c r="AA8" s="1241" t="s">
        <v>16</v>
      </c>
      <c r="AB8" s="1241" t="s">
        <v>17</v>
      </c>
      <c r="AC8" s="1241" t="s">
        <v>2310</v>
      </c>
      <c r="AD8" s="1241" t="s">
        <v>2311</v>
      </c>
      <c r="AE8" s="1241" t="s">
        <v>18</v>
      </c>
      <c r="AF8" s="1241" t="s">
        <v>19</v>
      </c>
      <c r="AG8" s="1241" t="s">
        <v>20</v>
      </c>
    </row>
    <row r="9" spans="1:33">
      <c r="A9" s="1242" t="s">
        <v>294</v>
      </c>
      <c r="B9" s="1243">
        <f t="shared" ref="B9:AG9" si="0">SUM(B33+B36)</f>
        <v>13588</v>
      </c>
      <c r="C9" s="1243">
        <f t="shared" si="0"/>
        <v>6766</v>
      </c>
      <c r="D9" s="1243">
        <f t="shared" si="0"/>
        <v>6882</v>
      </c>
      <c r="E9" s="1243">
        <f t="shared" si="0"/>
        <v>3327</v>
      </c>
      <c r="F9" s="1243">
        <f t="shared" si="0"/>
        <v>1266</v>
      </c>
      <c r="G9" s="1243">
        <f t="shared" si="0"/>
        <v>641</v>
      </c>
      <c r="H9" s="1243">
        <f t="shared" si="0"/>
        <v>1277</v>
      </c>
      <c r="I9" s="1243">
        <f t="shared" si="0"/>
        <v>620</v>
      </c>
      <c r="J9" s="1243">
        <f t="shared" si="0"/>
        <v>1180</v>
      </c>
      <c r="K9" s="1243">
        <f t="shared" si="0"/>
        <v>569</v>
      </c>
      <c r="L9" s="1243">
        <f t="shared" si="0"/>
        <v>1539</v>
      </c>
      <c r="M9" s="1243">
        <f t="shared" si="0"/>
        <v>727</v>
      </c>
      <c r="N9" s="1243">
        <f t="shared" si="0"/>
        <v>1620</v>
      </c>
      <c r="O9" s="1243">
        <f t="shared" si="0"/>
        <v>770</v>
      </c>
      <c r="P9" s="1243">
        <f t="shared" si="0"/>
        <v>4430</v>
      </c>
      <c r="Q9" s="1243">
        <f t="shared" si="0"/>
        <v>2185</v>
      </c>
      <c r="R9" s="1243">
        <f t="shared" si="0"/>
        <v>1328</v>
      </c>
      <c r="S9" s="1243">
        <f t="shared" si="0"/>
        <v>646</v>
      </c>
      <c r="T9" s="1243">
        <f t="shared" si="0"/>
        <v>1357</v>
      </c>
      <c r="U9" s="1243">
        <f t="shared" si="0"/>
        <v>698</v>
      </c>
      <c r="V9" s="1243">
        <f t="shared" si="0"/>
        <v>971</v>
      </c>
      <c r="W9" s="1243">
        <f t="shared" si="0"/>
        <v>480</v>
      </c>
      <c r="X9" s="1243">
        <f t="shared" si="0"/>
        <v>774</v>
      </c>
      <c r="Y9" s="1243">
        <f t="shared" si="0"/>
        <v>361</v>
      </c>
      <c r="Z9" s="1243">
        <f t="shared" si="0"/>
        <v>2276</v>
      </c>
      <c r="AA9" s="1243">
        <f t="shared" si="0"/>
        <v>1254</v>
      </c>
      <c r="AB9" s="1243">
        <f t="shared" si="0"/>
        <v>1189</v>
      </c>
      <c r="AC9" s="1243">
        <f t="shared" si="0"/>
        <v>664</v>
      </c>
      <c r="AD9" s="1243">
        <f t="shared" si="0"/>
        <v>1087</v>
      </c>
      <c r="AE9" s="1243">
        <f t="shared" si="0"/>
        <v>590</v>
      </c>
      <c r="AF9" s="1243">
        <f t="shared" si="0"/>
        <v>0</v>
      </c>
      <c r="AG9" s="1243">
        <f t="shared" si="0"/>
        <v>0</v>
      </c>
    </row>
    <row r="10" spans="1:33" s="102" customFormat="1" ht="12.75" customHeight="1">
      <c r="A10" s="1244" t="s">
        <v>1119</v>
      </c>
      <c r="B10" s="1245">
        <v>1501</v>
      </c>
      <c r="C10" s="1245">
        <v>765</v>
      </c>
      <c r="D10" s="1245">
        <v>735</v>
      </c>
      <c r="E10" s="1245">
        <v>367</v>
      </c>
      <c r="F10" s="1246">
        <v>131</v>
      </c>
      <c r="G10" s="1246">
        <v>65</v>
      </c>
      <c r="H10" s="1246">
        <v>176</v>
      </c>
      <c r="I10" s="1246">
        <v>85</v>
      </c>
      <c r="J10" s="1246">
        <v>112</v>
      </c>
      <c r="K10" s="1246">
        <v>61</v>
      </c>
      <c r="L10" s="1246">
        <v>135</v>
      </c>
      <c r="M10" s="1246">
        <v>67</v>
      </c>
      <c r="N10" s="1246">
        <v>181</v>
      </c>
      <c r="O10" s="1246">
        <v>89</v>
      </c>
      <c r="P10" s="1247">
        <v>474</v>
      </c>
      <c r="Q10" s="1247">
        <v>245</v>
      </c>
      <c r="R10" s="1246">
        <v>154</v>
      </c>
      <c r="S10" s="1246">
        <v>77</v>
      </c>
      <c r="T10" s="1246">
        <v>153</v>
      </c>
      <c r="U10" s="1246">
        <v>83</v>
      </c>
      <c r="V10" s="1246">
        <v>104</v>
      </c>
      <c r="W10" s="1246">
        <v>56</v>
      </c>
      <c r="X10" s="1246">
        <v>63</v>
      </c>
      <c r="Y10" s="1246">
        <v>29</v>
      </c>
      <c r="Z10" s="1247">
        <v>292</v>
      </c>
      <c r="AA10" s="1247">
        <v>153</v>
      </c>
      <c r="AB10" s="1246">
        <v>148</v>
      </c>
      <c r="AC10" s="1246">
        <v>72</v>
      </c>
      <c r="AD10" s="1246">
        <v>144</v>
      </c>
      <c r="AE10" s="1246">
        <v>81</v>
      </c>
      <c r="AF10" s="1246">
        <v>0</v>
      </c>
      <c r="AG10" s="1246">
        <v>0</v>
      </c>
    </row>
    <row r="11" spans="1:33">
      <c r="A11" s="1244" t="s">
        <v>1120</v>
      </c>
      <c r="B11" s="1245">
        <v>255</v>
      </c>
      <c r="C11" s="1245">
        <v>134</v>
      </c>
      <c r="D11" s="1245">
        <v>137</v>
      </c>
      <c r="E11" s="1245">
        <v>68</v>
      </c>
      <c r="F11" s="1246">
        <v>27</v>
      </c>
      <c r="G11" s="1246">
        <v>12</v>
      </c>
      <c r="H11" s="1246">
        <v>27</v>
      </c>
      <c r="I11" s="1246">
        <v>14</v>
      </c>
      <c r="J11" s="1246">
        <v>29</v>
      </c>
      <c r="K11" s="1246">
        <v>19</v>
      </c>
      <c r="L11" s="1246">
        <v>23</v>
      </c>
      <c r="M11" s="1246">
        <v>9</v>
      </c>
      <c r="N11" s="1246">
        <v>31</v>
      </c>
      <c r="O11" s="1246">
        <v>14</v>
      </c>
      <c r="P11" s="1247">
        <v>80</v>
      </c>
      <c r="Q11" s="1247">
        <v>42</v>
      </c>
      <c r="R11" s="1246">
        <v>22</v>
      </c>
      <c r="S11" s="1246">
        <v>10</v>
      </c>
      <c r="T11" s="1246">
        <v>30</v>
      </c>
      <c r="U11" s="1246">
        <v>18</v>
      </c>
      <c r="V11" s="1246">
        <v>13</v>
      </c>
      <c r="W11" s="1246">
        <v>7</v>
      </c>
      <c r="X11" s="1246">
        <v>15</v>
      </c>
      <c r="Y11" s="1246">
        <v>7</v>
      </c>
      <c r="Z11" s="1247">
        <v>38</v>
      </c>
      <c r="AA11" s="1247">
        <v>24</v>
      </c>
      <c r="AB11" s="1246">
        <v>28</v>
      </c>
      <c r="AC11" s="1246">
        <v>17</v>
      </c>
      <c r="AD11" s="1246">
        <v>10</v>
      </c>
      <c r="AE11" s="1246">
        <v>7</v>
      </c>
      <c r="AF11" s="1246">
        <v>0</v>
      </c>
      <c r="AG11" s="1246">
        <v>0</v>
      </c>
    </row>
    <row r="12" spans="1:33">
      <c r="A12" s="1244" t="s">
        <v>1121</v>
      </c>
      <c r="B12" s="1245">
        <v>1445</v>
      </c>
      <c r="C12" s="1245">
        <v>722</v>
      </c>
      <c r="D12" s="1245">
        <v>750</v>
      </c>
      <c r="E12" s="1245">
        <v>366</v>
      </c>
      <c r="F12" s="1246">
        <v>134</v>
      </c>
      <c r="G12" s="1246">
        <v>66</v>
      </c>
      <c r="H12" s="1246">
        <v>145</v>
      </c>
      <c r="I12" s="1246">
        <v>73</v>
      </c>
      <c r="J12" s="1246">
        <v>108</v>
      </c>
      <c r="K12" s="1246">
        <v>54</v>
      </c>
      <c r="L12" s="1246">
        <v>179</v>
      </c>
      <c r="M12" s="1246">
        <v>94</v>
      </c>
      <c r="N12" s="1246">
        <v>184</v>
      </c>
      <c r="O12" s="1246">
        <v>79</v>
      </c>
      <c r="P12" s="1247">
        <v>473</v>
      </c>
      <c r="Q12" s="1247">
        <v>225</v>
      </c>
      <c r="R12" s="1246">
        <v>166</v>
      </c>
      <c r="S12" s="1246">
        <v>75</v>
      </c>
      <c r="T12" s="1246">
        <v>130</v>
      </c>
      <c r="U12" s="1246">
        <v>75</v>
      </c>
      <c r="V12" s="1246">
        <v>131</v>
      </c>
      <c r="W12" s="1246">
        <v>53</v>
      </c>
      <c r="X12" s="1246">
        <v>46</v>
      </c>
      <c r="Y12" s="1246">
        <v>22</v>
      </c>
      <c r="Z12" s="1247">
        <v>222</v>
      </c>
      <c r="AA12" s="1247">
        <v>131</v>
      </c>
      <c r="AB12" s="1246">
        <v>98</v>
      </c>
      <c r="AC12" s="1246">
        <v>59</v>
      </c>
      <c r="AD12" s="1246">
        <v>124</v>
      </c>
      <c r="AE12" s="1246">
        <v>72</v>
      </c>
      <c r="AF12" s="1246">
        <v>0</v>
      </c>
      <c r="AG12" s="1246">
        <v>0</v>
      </c>
    </row>
    <row r="13" spans="1:33">
      <c r="A13" s="1244" t="s">
        <v>1122</v>
      </c>
      <c r="B13" s="1245">
        <v>510</v>
      </c>
      <c r="C13" s="1245">
        <v>273</v>
      </c>
      <c r="D13" s="1245">
        <v>228</v>
      </c>
      <c r="E13" s="1245">
        <v>124</v>
      </c>
      <c r="F13" s="1246">
        <v>40</v>
      </c>
      <c r="G13" s="1246">
        <v>23</v>
      </c>
      <c r="H13" s="1246">
        <v>39</v>
      </c>
      <c r="I13" s="1246">
        <v>20</v>
      </c>
      <c r="J13" s="1246">
        <v>45</v>
      </c>
      <c r="K13" s="1246">
        <v>29</v>
      </c>
      <c r="L13" s="1246">
        <v>54</v>
      </c>
      <c r="M13" s="1246">
        <v>25</v>
      </c>
      <c r="N13" s="1246">
        <v>50</v>
      </c>
      <c r="O13" s="1246">
        <v>27</v>
      </c>
      <c r="P13" s="1247">
        <v>160</v>
      </c>
      <c r="Q13" s="1247">
        <v>88</v>
      </c>
      <c r="R13" s="1246">
        <v>48</v>
      </c>
      <c r="S13" s="1246">
        <v>29</v>
      </c>
      <c r="T13" s="1246">
        <v>66</v>
      </c>
      <c r="U13" s="1246">
        <v>35</v>
      </c>
      <c r="V13" s="1246">
        <v>46</v>
      </c>
      <c r="W13" s="1246">
        <v>24</v>
      </c>
      <c r="X13" s="1246">
        <v>0</v>
      </c>
      <c r="Y13" s="1246">
        <v>0</v>
      </c>
      <c r="Z13" s="1247">
        <v>122</v>
      </c>
      <c r="AA13" s="1247">
        <v>61</v>
      </c>
      <c r="AB13" s="1246">
        <v>76</v>
      </c>
      <c r="AC13" s="1246">
        <v>36</v>
      </c>
      <c r="AD13" s="1246">
        <v>46</v>
      </c>
      <c r="AE13" s="1246">
        <v>25</v>
      </c>
      <c r="AF13" s="1246">
        <v>0</v>
      </c>
      <c r="AG13" s="1246">
        <v>0</v>
      </c>
    </row>
    <row r="14" spans="1:33">
      <c r="A14" s="1244" t="s">
        <v>1123</v>
      </c>
      <c r="B14" s="1245">
        <v>938</v>
      </c>
      <c r="C14" s="1245">
        <v>464</v>
      </c>
      <c r="D14" s="1245">
        <v>452</v>
      </c>
      <c r="E14" s="1245">
        <v>212</v>
      </c>
      <c r="F14" s="1246">
        <v>85</v>
      </c>
      <c r="G14" s="1246">
        <v>42</v>
      </c>
      <c r="H14" s="1246">
        <v>77</v>
      </c>
      <c r="I14" s="1246">
        <v>35</v>
      </c>
      <c r="J14" s="1246">
        <v>83</v>
      </c>
      <c r="K14" s="1246">
        <v>39</v>
      </c>
      <c r="L14" s="1246">
        <v>98</v>
      </c>
      <c r="M14" s="1246">
        <v>44</v>
      </c>
      <c r="N14" s="1246">
        <v>109</v>
      </c>
      <c r="O14" s="1246">
        <v>52</v>
      </c>
      <c r="P14" s="1247">
        <v>300</v>
      </c>
      <c r="Q14" s="1247">
        <v>147</v>
      </c>
      <c r="R14" s="1246">
        <v>86</v>
      </c>
      <c r="S14" s="1246">
        <v>43</v>
      </c>
      <c r="T14" s="1246">
        <v>89</v>
      </c>
      <c r="U14" s="1246">
        <v>44</v>
      </c>
      <c r="V14" s="1246">
        <v>84</v>
      </c>
      <c r="W14" s="1246">
        <v>42</v>
      </c>
      <c r="X14" s="1246">
        <v>41</v>
      </c>
      <c r="Y14" s="1246">
        <v>18</v>
      </c>
      <c r="Z14" s="1247">
        <v>186</v>
      </c>
      <c r="AA14" s="1247">
        <v>105</v>
      </c>
      <c r="AB14" s="1246">
        <v>98</v>
      </c>
      <c r="AC14" s="1246">
        <v>60</v>
      </c>
      <c r="AD14" s="1246">
        <v>88</v>
      </c>
      <c r="AE14" s="1246">
        <v>45</v>
      </c>
      <c r="AF14" s="1246">
        <v>0</v>
      </c>
      <c r="AG14" s="1246">
        <v>0</v>
      </c>
    </row>
    <row r="15" spans="1:33">
      <c r="A15" s="1244" t="s">
        <v>1124</v>
      </c>
      <c r="B15" s="1245">
        <v>521</v>
      </c>
      <c r="C15" s="1245">
        <v>244</v>
      </c>
      <c r="D15" s="1245">
        <v>262</v>
      </c>
      <c r="E15" s="1245">
        <v>118</v>
      </c>
      <c r="F15" s="1246">
        <v>44</v>
      </c>
      <c r="G15" s="1246">
        <v>23</v>
      </c>
      <c r="H15" s="1246">
        <v>51</v>
      </c>
      <c r="I15" s="1246">
        <v>22</v>
      </c>
      <c r="J15" s="1246">
        <v>45</v>
      </c>
      <c r="K15" s="1246">
        <v>22</v>
      </c>
      <c r="L15" s="1246">
        <v>52</v>
      </c>
      <c r="M15" s="1246">
        <v>26</v>
      </c>
      <c r="N15" s="1246">
        <v>70</v>
      </c>
      <c r="O15" s="1246">
        <v>25</v>
      </c>
      <c r="P15" s="1247">
        <v>201</v>
      </c>
      <c r="Q15" s="1247">
        <v>95</v>
      </c>
      <c r="R15" s="1246">
        <v>48</v>
      </c>
      <c r="S15" s="1246">
        <v>23</v>
      </c>
      <c r="T15" s="1246">
        <v>56</v>
      </c>
      <c r="U15" s="1246">
        <v>31</v>
      </c>
      <c r="V15" s="1246">
        <v>45</v>
      </c>
      <c r="W15" s="1246">
        <v>18</v>
      </c>
      <c r="X15" s="1246">
        <v>52</v>
      </c>
      <c r="Y15" s="1246">
        <v>23</v>
      </c>
      <c r="Z15" s="1247">
        <v>58</v>
      </c>
      <c r="AA15" s="1247">
        <v>31</v>
      </c>
      <c r="AB15" s="1246">
        <v>27</v>
      </c>
      <c r="AC15" s="1246">
        <v>13</v>
      </c>
      <c r="AD15" s="1246">
        <v>31</v>
      </c>
      <c r="AE15" s="1246">
        <v>18</v>
      </c>
      <c r="AF15" s="1246">
        <v>0</v>
      </c>
      <c r="AG15" s="1246">
        <v>0</v>
      </c>
    </row>
    <row r="16" spans="1:33">
      <c r="A16" s="1244" t="s">
        <v>1125</v>
      </c>
      <c r="B16" s="1245">
        <v>756</v>
      </c>
      <c r="C16" s="1245">
        <v>399</v>
      </c>
      <c r="D16" s="1245">
        <v>391</v>
      </c>
      <c r="E16" s="1245">
        <v>203</v>
      </c>
      <c r="F16" s="1246">
        <v>72</v>
      </c>
      <c r="G16" s="1246">
        <v>40</v>
      </c>
      <c r="H16" s="1246">
        <v>67</v>
      </c>
      <c r="I16" s="1246">
        <v>32</v>
      </c>
      <c r="J16" s="1246">
        <v>77</v>
      </c>
      <c r="K16" s="1246">
        <v>44</v>
      </c>
      <c r="L16" s="1246">
        <v>80</v>
      </c>
      <c r="M16" s="1246">
        <v>40</v>
      </c>
      <c r="N16" s="1246">
        <v>95</v>
      </c>
      <c r="O16" s="1246">
        <v>47</v>
      </c>
      <c r="P16" s="1247">
        <v>233</v>
      </c>
      <c r="Q16" s="1247">
        <v>116</v>
      </c>
      <c r="R16" s="1246">
        <v>84</v>
      </c>
      <c r="S16" s="1246">
        <v>35</v>
      </c>
      <c r="T16" s="1246">
        <v>76</v>
      </c>
      <c r="U16" s="1246">
        <v>41</v>
      </c>
      <c r="V16" s="1246">
        <v>0</v>
      </c>
      <c r="W16" s="1246">
        <v>0</v>
      </c>
      <c r="X16" s="1246">
        <v>73</v>
      </c>
      <c r="Y16" s="1246">
        <v>40</v>
      </c>
      <c r="Z16" s="1247">
        <v>132</v>
      </c>
      <c r="AA16" s="1247">
        <v>80</v>
      </c>
      <c r="AB16" s="1246">
        <v>78</v>
      </c>
      <c r="AC16" s="1246">
        <v>45</v>
      </c>
      <c r="AD16" s="1246">
        <v>54</v>
      </c>
      <c r="AE16" s="1246">
        <v>35</v>
      </c>
      <c r="AF16" s="1246">
        <v>0</v>
      </c>
      <c r="AG16" s="1246">
        <v>0</v>
      </c>
    </row>
    <row r="17" spans="1:33">
      <c r="A17" s="1244" t="s">
        <v>1126</v>
      </c>
      <c r="B17" s="1245">
        <v>1461</v>
      </c>
      <c r="C17" s="1245">
        <v>725</v>
      </c>
      <c r="D17" s="1245">
        <v>623</v>
      </c>
      <c r="E17" s="1245">
        <v>295</v>
      </c>
      <c r="F17" s="1246">
        <v>120</v>
      </c>
      <c r="G17" s="1246">
        <v>64</v>
      </c>
      <c r="H17" s="1246">
        <v>106</v>
      </c>
      <c r="I17" s="1246">
        <v>45</v>
      </c>
      <c r="J17" s="1246">
        <v>109</v>
      </c>
      <c r="K17" s="1246">
        <v>49</v>
      </c>
      <c r="L17" s="1246">
        <v>143</v>
      </c>
      <c r="M17" s="1246">
        <v>66</v>
      </c>
      <c r="N17" s="1246">
        <v>145</v>
      </c>
      <c r="O17" s="1246">
        <v>71</v>
      </c>
      <c r="P17" s="1247">
        <v>520</v>
      </c>
      <c r="Q17" s="1247">
        <v>244</v>
      </c>
      <c r="R17" s="1246">
        <v>152</v>
      </c>
      <c r="S17" s="1246">
        <v>74</v>
      </c>
      <c r="T17" s="1246">
        <v>149</v>
      </c>
      <c r="U17" s="1246">
        <v>65</v>
      </c>
      <c r="V17" s="1246">
        <v>120</v>
      </c>
      <c r="W17" s="1246">
        <v>61</v>
      </c>
      <c r="X17" s="1246">
        <v>99</v>
      </c>
      <c r="Y17" s="1246">
        <v>44</v>
      </c>
      <c r="Z17" s="1247">
        <v>318</v>
      </c>
      <c r="AA17" s="1247">
        <v>186</v>
      </c>
      <c r="AB17" s="1246">
        <v>162</v>
      </c>
      <c r="AC17" s="1246">
        <v>97</v>
      </c>
      <c r="AD17" s="1246">
        <v>156</v>
      </c>
      <c r="AE17" s="1246">
        <v>89</v>
      </c>
      <c r="AF17" s="1246">
        <v>0</v>
      </c>
      <c r="AG17" s="1246">
        <v>0</v>
      </c>
    </row>
    <row r="18" spans="1:33">
      <c r="A18" s="1244" t="s">
        <v>1127</v>
      </c>
      <c r="B18" s="1245">
        <v>1174</v>
      </c>
      <c r="C18" s="1245">
        <v>584</v>
      </c>
      <c r="D18" s="1245">
        <v>652</v>
      </c>
      <c r="E18" s="1245">
        <v>307</v>
      </c>
      <c r="F18" s="1246">
        <v>122</v>
      </c>
      <c r="G18" s="1246">
        <v>61</v>
      </c>
      <c r="H18" s="1246">
        <v>120</v>
      </c>
      <c r="I18" s="1246">
        <v>53</v>
      </c>
      <c r="J18" s="1246">
        <v>113</v>
      </c>
      <c r="K18" s="1246">
        <v>47</v>
      </c>
      <c r="L18" s="1246">
        <v>139</v>
      </c>
      <c r="M18" s="1246">
        <v>65</v>
      </c>
      <c r="N18" s="1246">
        <v>158</v>
      </c>
      <c r="O18" s="1246">
        <v>81</v>
      </c>
      <c r="P18" s="1247">
        <v>316</v>
      </c>
      <c r="Q18" s="1247">
        <v>168</v>
      </c>
      <c r="R18" s="1246">
        <v>74</v>
      </c>
      <c r="S18" s="1246">
        <v>39</v>
      </c>
      <c r="T18" s="1246">
        <v>112</v>
      </c>
      <c r="U18" s="1246">
        <v>56</v>
      </c>
      <c r="V18" s="1246">
        <v>80</v>
      </c>
      <c r="W18" s="1246">
        <v>42</v>
      </c>
      <c r="X18" s="1246">
        <v>50</v>
      </c>
      <c r="Y18" s="1246">
        <v>31</v>
      </c>
      <c r="Z18" s="1247">
        <v>206</v>
      </c>
      <c r="AA18" s="1247">
        <v>109</v>
      </c>
      <c r="AB18" s="1246">
        <v>116</v>
      </c>
      <c r="AC18" s="1246">
        <v>64</v>
      </c>
      <c r="AD18" s="1246">
        <v>90</v>
      </c>
      <c r="AE18" s="1246">
        <v>45</v>
      </c>
      <c r="AF18" s="1246">
        <v>0</v>
      </c>
      <c r="AG18" s="1246">
        <v>0</v>
      </c>
    </row>
    <row r="19" spans="1:33">
      <c r="A19" s="1244" t="s">
        <v>280</v>
      </c>
      <c r="B19" s="1245">
        <v>538</v>
      </c>
      <c r="C19" s="1245">
        <v>291</v>
      </c>
      <c r="D19" s="1245">
        <v>269</v>
      </c>
      <c r="E19" s="1245">
        <v>133</v>
      </c>
      <c r="F19" s="1246">
        <v>48</v>
      </c>
      <c r="G19" s="1246">
        <v>29</v>
      </c>
      <c r="H19" s="1246">
        <v>49</v>
      </c>
      <c r="I19" s="1246">
        <v>25</v>
      </c>
      <c r="J19" s="1246">
        <v>40</v>
      </c>
      <c r="K19" s="1246">
        <v>15</v>
      </c>
      <c r="L19" s="1246">
        <v>94</v>
      </c>
      <c r="M19" s="1246">
        <v>46</v>
      </c>
      <c r="N19" s="1246">
        <v>38</v>
      </c>
      <c r="O19" s="1246">
        <v>18</v>
      </c>
      <c r="P19" s="1247">
        <v>163</v>
      </c>
      <c r="Q19" s="1247">
        <v>90</v>
      </c>
      <c r="R19" s="1246">
        <v>57</v>
      </c>
      <c r="S19" s="1246">
        <v>32</v>
      </c>
      <c r="T19" s="1246">
        <v>50</v>
      </c>
      <c r="U19" s="1246">
        <v>34</v>
      </c>
      <c r="V19" s="1246">
        <v>27</v>
      </c>
      <c r="W19" s="1246">
        <v>11</v>
      </c>
      <c r="X19" s="1246">
        <v>29</v>
      </c>
      <c r="Y19" s="1246">
        <v>13</v>
      </c>
      <c r="Z19" s="1247">
        <v>106</v>
      </c>
      <c r="AA19" s="1247">
        <v>68</v>
      </c>
      <c r="AB19" s="1246">
        <v>55</v>
      </c>
      <c r="AC19" s="1246">
        <v>36</v>
      </c>
      <c r="AD19" s="1246">
        <v>51</v>
      </c>
      <c r="AE19" s="1246">
        <v>32</v>
      </c>
      <c r="AF19" s="1246">
        <v>0</v>
      </c>
      <c r="AG19" s="1246">
        <v>0</v>
      </c>
    </row>
    <row r="20" spans="1:33">
      <c r="A20" s="1244" t="s">
        <v>281</v>
      </c>
      <c r="B20" s="1245">
        <v>114</v>
      </c>
      <c r="C20" s="1245">
        <v>53</v>
      </c>
      <c r="D20" s="1245">
        <v>60</v>
      </c>
      <c r="E20" s="1245">
        <v>24</v>
      </c>
      <c r="F20" s="1246">
        <v>14</v>
      </c>
      <c r="G20" s="1246">
        <v>8</v>
      </c>
      <c r="H20" s="1246">
        <v>10</v>
      </c>
      <c r="I20" s="1246">
        <v>3</v>
      </c>
      <c r="J20" s="1246">
        <v>11</v>
      </c>
      <c r="K20" s="1246">
        <v>5</v>
      </c>
      <c r="L20" s="1246">
        <v>11</v>
      </c>
      <c r="M20" s="1246">
        <v>4</v>
      </c>
      <c r="N20" s="1246">
        <v>14</v>
      </c>
      <c r="O20" s="1246">
        <v>4</v>
      </c>
      <c r="P20" s="1247">
        <v>54</v>
      </c>
      <c r="Q20" s="1247">
        <v>29</v>
      </c>
      <c r="R20" s="1246">
        <v>16</v>
      </c>
      <c r="S20" s="1246">
        <v>10</v>
      </c>
      <c r="T20" s="1246">
        <v>17</v>
      </c>
      <c r="U20" s="1246">
        <v>7</v>
      </c>
      <c r="V20" s="1246">
        <v>0</v>
      </c>
      <c r="W20" s="1246">
        <v>0</v>
      </c>
      <c r="X20" s="1246">
        <v>21</v>
      </c>
      <c r="Y20" s="1246">
        <v>12</v>
      </c>
      <c r="Z20" s="1247">
        <v>0</v>
      </c>
      <c r="AA20" s="1247">
        <v>0</v>
      </c>
      <c r="AB20" s="1246">
        <v>0</v>
      </c>
      <c r="AC20" s="1246">
        <v>0</v>
      </c>
      <c r="AD20" s="1246">
        <v>0</v>
      </c>
      <c r="AE20" s="1246">
        <v>0</v>
      </c>
      <c r="AF20" s="1246">
        <v>0</v>
      </c>
      <c r="AG20" s="1246">
        <v>0</v>
      </c>
    </row>
    <row r="21" spans="1:33">
      <c r="A21" s="1244" t="s">
        <v>290</v>
      </c>
      <c r="B21" s="1245">
        <v>847</v>
      </c>
      <c r="C21" s="1245">
        <v>427</v>
      </c>
      <c r="D21" s="1245">
        <v>447</v>
      </c>
      <c r="E21" s="1245">
        <v>218</v>
      </c>
      <c r="F21" s="1246">
        <v>71</v>
      </c>
      <c r="G21" s="1246">
        <v>29</v>
      </c>
      <c r="H21" s="1246">
        <v>76</v>
      </c>
      <c r="I21" s="1246">
        <v>41</v>
      </c>
      <c r="J21" s="1246">
        <v>71</v>
      </c>
      <c r="K21" s="1246">
        <v>30</v>
      </c>
      <c r="L21" s="1246">
        <v>117</v>
      </c>
      <c r="M21" s="1246">
        <v>52</v>
      </c>
      <c r="N21" s="1246">
        <v>112</v>
      </c>
      <c r="O21" s="1246">
        <v>66</v>
      </c>
      <c r="P21" s="1247">
        <v>251</v>
      </c>
      <c r="Q21" s="1247">
        <v>125</v>
      </c>
      <c r="R21" s="1246">
        <v>65</v>
      </c>
      <c r="S21" s="1246">
        <v>35</v>
      </c>
      <c r="T21" s="1246">
        <v>74</v>
      </c>
      <c r="U21" s="1246">
        <v>41</v>
      </c>
      <c r="V21" s="1246">
        <v>67</v>
      </c>
      <c r="W21" s="1246">
        <v>30</v>
      </c>
      <c r="X21" s="1246">
        <v>45</v>
      </c>
      <c r="Y21" s="1246">
        <v>19</v>
      </c>
      <c r="Z21" s="1247">
        <v>149</v>
      </c>
      <c r="AA21" s="1247">
        <v>84</v>
      </c>
      <c r="AB21" s="1246">
        <v>78</v>
      </c>
      <c r="AC21" s="1246">
        <v>42</v>
      </c>
      <c r="AD21" s="1246">
        <v>71</v>
      </c>
      <c r="AE21" s="1246">
        <v>42</v>
      </c>
      <c r="AF21" s="1246">
        <v>0</v>
      </c>
      <c r="AG21" s="1246">
        <v>0</v>
      </c>
    </row>
    <row r="22" spans="1:33">
      <c r="A22" s="1244" t="s">
        <v>282</v>
      </c>
      <c r="B22" s="1245">
        <v>150</v>
      </c>
      <c r="C22" s="1245">
        <v>72</v>
      </c>
      <c r="D22" s="1245">
        <v>86</v>
      </c>
      <c r="E22" s="1245">
        <v>38</v>
      </c>
      <c r="F22" s="1246">
        <v>14</v>
      </c>
      <c r="G22" s="1246">
        <v>7</v>
      </c>
      <c r="H22" s="1246">
        <v>15</v>
      </c>
      <c r="I22" s="1246">
        <v>10</v>
      </c>
      <c r="J22" s="1246">
        <v>17</v>
      </c>
      <c r="K22" s="1246">
        <v>8</v>
      </c>
      <c r="L22" s="1246">
        <v>17</v>
      </c>
      <c r="M22" s="1246">
        <v>6</v>
      </c>
      <c r="N22" s="1246">
        <v>23</v>
      </c>
      <c r="O22" s="1246">
        <v>7</v>
      </c>
      <c r="P22" s="1247">
        <v>64</v>
      </c>
      <c r="Q22" s="1247">
        <v>34</v>
      </c>
      <c r="R22" s="1246">
        <v>19</v>
      </c>
      <c r="S22" s="1246">
        <v>9</v>
      </c>
      <c r="T22" s="1246">
        <v>14</v>
      </c>
      <c r="U22" s="1246">
        <v>8</v>
      </c>
      <c r="V22" s="1246">
        <v>31</v>
      </c>
      <c r="W22" s="1246">
        <v>17</v>
      </c>
      <c r="X22" s="1246">
        <v>0</v>
      </c>
      <c r="Y22" s="1246">
        <v>0</v>
      </c>
      <c r="Z22" s="1247">
        <v>0</v>
      </c>
      <c r="AA22" s="1247">
        <v>0</v>
      </c>
      <c r="AB22" s="1246">
        <v>0</v>
      </c>
      <c r="AC22" s="1246">
        <v>0</v>
      </c>
      <c r="AD22" s="1246">
        <v>0</v>
      </c>
      <c r="AE22" s="1246">
        <v>0</v>
      </c>
      <c r="AF22" s="1246">
        <v>0</v>
      </c>
      <c r="AG22" s="1246">
        <v>0</v>
      </c>
    </row>
    <row r="23" spans="1:33">
      <c r="A23" s="1244" t="s">
        <v>283</v>
      </c>
      <c r="B23" s="1245">
        <v>110</v>
      </c>
      <c r="C23" s="1245">
        <v>52</v>
      </c>
      <c r="D23" s="1245">
        <v>65</v>
      </c>
      <c r="E23" s="1245">
        <v>34</v>
      </c>
      <c r="F23" s="1246">
        <v>10</v>
      </c>
      <c r="G23" s="1246">
        <v>5</v>
      </c>
      <c r="H23" s="1246">
        <v>18</v>
      </c>
      <c r="I23" s="1246">
        <v>9</v>
      </c>
      <c r="J23" s="1246">
        <v>10</v>
      </c>
      <c r="K23" s="1246">
        <v>5</v>
      </c>
      <c r="L23" s="1246">
        <v>10</v>
      </c>
      <c r="M23" s="1246">
        <v>5</v>
      </c>
      <c r="N23" s="1246">
        <v>17</v>
      </c>
      <c r="O23" s="1246">
        <v>10</v>
      </c>
      <c r="P23" s="1247">
        <v>45</v>
      </c>
      <c r="Q23" s="1247">
        <v>18</v>
      </c>
      <c r="R23" s="1246">
        <v>18</v>
      </c>
      <c r="S23" s="1246">
        <v>4</v>
      </c>
      <c r="T23" s="1246">
        <v>14</v>
      </c>
      <c r="U23" s="1246">
        <v>9</v>
      </c>
      <c r="V23" s="1246">
        <v>0</v>
      </c>
      <c r="W23" s="1246">
        <v>0</v>
      </c>
      <c r="X23" s="1246">
        <v>13</v>
      </c>
      <c r="Y23" s="1246">
        <v>5</v>
      </c>
      <c r="Z23" s="1247">
        <v>0</v>
      </c>
      <c r="AA23" s="1247">
        <v>0</v>
      </c>
      <c r="AB23" s="1246">
        <v>0</v>
      </c>
      <c r="AC23" s="1246">
        <v>0</v>
      </c>
      <c r="AD23" s="1246">
        <v>0</v>
      </c>
      <c r="AE23" s="1246">
        <v>0</v>
      </c>
      <c r="AF23" s="1246">
        <v>0</v>
      </c>
      <c r="AG23" s="1246">
        <v>0</v>
      </c>
    </row>
    <row r="24" spans="1:33">
      <c r="A24" s="1244" t="s">
        <v>284</v>
      </c>
      <c r="B24" s="1245">
        <v>562</v>
      </c>
      <c r="C24" s="1245">
        <v>266</v>
      </c>
      <c r="D24" s="1245">
        <v>276</v>
      </c>
      <c r="E24" s="1245">
        <v>131</v>
      </c>
      <c r="F24" s="1246">
        <v>41</v>
      </c>
      <c r="G24" s="1246">
        <v>23</v>
      </c>
      <c r="H24" s="1246">
        <v>44</v>
      </c>
      <c r="I24" s="1246">
        <v>19</v>
      </c>
      <c r="J24" s="1246">
        <v>68</v>
      </c>
      <c r="K24" s="1246">
        <v>25</v>
      </c>
      <c r="L24" s="1246">
        <v>55</v>
      </c>
      <c r="M24" s="1246">
        <v>33</v>
      </c>
      <c r="N24" s="1246">
        <v>68</v>
      </c>
      <c r="O24" s="1246">
        <v>31</v>
      </c>
      <c r="P24" s="1247">
        <v>176</v>
      </c>
      <c r="Q24" s="1247">
        <v>76</v>
      </c>
      <c r="R24" s="1246">
        <v>53</v>
      </c>
      <c r="S24" s="1246">
        <v>19</v>
      </c>
      <c r="T24" s="1246">
        <v>49</v>
      </c>
      <c r="U24" s="1246">
        <v>24</v>
      </c>
      <c r="V24" s="1246">
        <v>45</v>
      </c>
      <c r="W24" s="1246">
        <v>22</v>
      </c>
      <c r="X24" s="1246">
        <v>29</v>
      </c>
      <c r="Y24" s="1246">
        <v>11</v>
      </c>
      <c r="Z24" s="1247">
        <v>110</v>
      </c>
      <c r="AA24" s="1247">
        <v>59</v>
      </c>
      <c r="AB24" s="1246">
        <v>61</v>
      </c>
      <c r="AC24" s="1246">
        <v>35</v>
      </c>
      <c r="AD24" s="1246">
        <v>49</v>
      </c>
      <c r="AE24" s="1246">
        <v>24</v>
      </c>
      <c r="AF24" s="1246">
        <v>0</v>
      </c>
      <c r="AG24" s="1246">
        <v>0</v>
      </c>
    </row>
    <row r="25" spans="1:33">
      <c r="A25" s="1244" t="s">
        <v>285</v>
      </c>
      <c r="B25" s="1245">
        <v>231</v>
      </c>
      <c r="C25" s="1245">
        <v>107</v>
      </c>
      <c r="D25" s="1245">
        <v>137</v>
      </c>
      <c r="E25" s="1245">
        <v>64</v>
      </c>
      <c r="F25" s="1246">
        <v>30</v>
      </c>
      <c r="G25" s="1246">
        <v>16</v>
      </c>
      <c r="H25" s="1246">
        <v>25</v>
      </c>
      <c r="I25" s="1246">
        <v>11</v>
      </c>
      <c r="J25" s="1246">
        <v>23</v>
      </c>
      <c r="K25" s="1246">
        <v>12</v>
      </c>
      <c r="L25" s="1246">
        <v>30</v>
      </c>
      <c r="M25" s="1246">
        <v>14</v>
      </c>
      <c r="N25" s="1246">
        <v>29</v>
      </c>
      <c r="O25" s="1246">
        <v>11</v>
      </c>
      <c r="P25" s="1247">
        <v>94</v>
      </c>
      <c r="Q25" s="1247">
        <v>43</v>
      </c>
      <c r="R25" s="1246">
        <v>23</v>
      </c>
      <c r="S25" s="1246">
        <v>6</v>
      </c>
      <c r="T25" s="1246">
        <v>31</v>
      </c>
      <c r="U25" s="1246">
        <v>18</v>
      </c>
      <c r="V25" s="1246">
        <v>28</v>
      </c>
      <c r="W25" s="1246">
        <v>12</v>
      </c>
      <c r="X25" s="1246">
        <v>12</v>
      </c>
      <c r="Y25" s="1246">
        <v>7</v>
      </c>
      <c r="Z25" s="1247">
        <v>0</v>
      </c>
      <c r="AA25" s="1247">
        <v>0</v>
      </c>
      <c r="AB25" s="1246">
        <v>0</v>
      </c>
      <c r="AC25" s="1246">
        <v>0</v>
      </c>
      <c r="AD25" s="1246">
        <v>0</v>
      </c>
      <c r="AE25" s="1246">
        <v>0</v>
      </c>
      <c r="AF25" s="1246">
        <v>0</v>
      </c>
      <c r="AG25" s="1246">
        <v>0</v>
      </c>
    </row>
    <row r="26" spans="1:33">
      <c r="A26" s="1244" t="s">
        <v>288</v>
      </c>
      <c r="B26" s="1245">
        <v>212</v>
      </c>
      <c r="C26" s="1245">
        <v>101</v>
      </c>
      <c r="D26" s="1245">
        <v>131</v>
      </c>
      <c r="E26" s="1245">
        <v>63</v>
      </c>
      <c r="F26" s="1246">
        <v>30</v>
      </c>
      <c r="G26" s="1246">
        <v>16</v>
      </c>
      <c r="H26" s="1246">
        <v>22</v>
      </c>
      <c r="I26" s="1246">
        <v>11</v>
      </c>
      <c r="J26" s="1246">
        <v>15</v>
      </c>
      <c r="K26" s="1246">
        <v>5</v>
      </c>
      <c r="L26" s="1246">
        <v>31</v>
      </c>
      <c r="M26" s="1246">
        <v>13</v>
      </c>
      <c r="N26" s="1246">
        <v>33</v>
      </c>
      <c r="O26" s="1246">
        <v>18</v>
      </c>
      <c r="P26" s="1247">
        <v>81</v>
      </c>
      <c r="Q26" s="1247">
        <v>38</v>
      </c>
      <c r="R26" s="1246">
        <v>22</v>
      </c>
      <c r="S26" s="1246">
        <v>9</v>
      </c>
      <c r="T26" s="1246">
        <v>26</v>
      </c>
      <c r="U26" s="1246">
        <v>14</v>
      </c>
      <c r="V26" s="1246">
        <v>16</v>
      </c>
      <c r="W26" s="1246">
        <v>9</v>
      </c>
      <c r="X26" s="1246">
        <v>17</v>
      </c>
      <c r="Y26" s="1246">
        <v>6</v>
      </c>
      <c r="Z26" s="1247">
        <v>0</v>
      </c>
      <c r="AA26" s="1247">
        <v>0</v>
      </c>
      <c r="AB26" s="1246">
        <v>0</v>
      </c>
      <c r="AC26" s="1246">
        <v>0</v>
      </c>
      <c r="AD26" s="1246">
        <v>0</v>
      </c>
      <c r="AE26" s="1246">
        <v>0</v>
      </c>
      <c r="AF26" s="1246">
        <v>0</v>
      </c>
      <c r="AG26" s="1246">
        <v>0</v>
      </c>
    </row>
    <row r="27" spans="1:33">
      <c r="A27" s="1244" t="s">
        <v>1128</v>
      </c>
      <c r="B27" s="1245">
        <v>404</v>
      </c>
      <c r="C27" s="1245">
        <v>196</v>
      </c>
      <c r="D27" s="1245">
        <v>195</v>
      </c>
      <c r="E27" s="1245">
        <v>98</v>
      </c>
      <c r="F27" s="1246">
        <v>34</v>
      </c>
      <c r="G27" s="1246">
        <v>17</v>
      </c>
      <c r="H27" s="1246">
        <v>51</v>
      </c>
      <c r="I27" s="1246">
        <v>30</v>
      </c>
      <c r="J27" s="1246">
        <v>30</v>
      </c>
      <c r="K27" s="1246">
        <v>15</v>
      </c>
      <c r="L27" s="1246">
        <v>40</v>
      </c>
      <c r="M27" s="1246">
        <v>22</v>
      </c>
      <c r="N27" s="1246">
        <v>40</v>
      </c>
      <c r="O27" s="1246">
        <v>14</v>
      </c>
      <c r="P27" s="1247">
        <v>136</v>
      </c>
      <c r="Q27" s="1247">
        <v>61</v>
      </c>
      <c r="R27" s="1246">
        <v>50</v>
      </c>
      <c r="S27" s="1246">
        <v>20</v>
      </c>
      <c r="T27" s="1246">
        <v>39</v>
      </c>
      <c r="U27" s="1246">
        <v>16</v>
      </c>
      <c r="V27" s="1246">
        <v>24</v>
      </c>
      <c r="W27" s="1246">
        <v>14</v>
      </c>
      <c r="X27" s="1246">
        <v>23</v>
      </c>
      <c r="Y27" s="1246">
        <v>11</v>
      </c>
      <c r="Z27" s="1247">
        <v>73</v>
      </c>
      <c r="AA27" s="1247">
        <v>37</v>
      </c>
      <c r="AB27" s="1246">
        <v>30</v>
      </c>
      <c r="AC27" s="1246">
        <v>19</v>
      </c>
      <c r="AD27" s="1246">
        <v>43</v>
      </c>
      <c r="AE27" s="1246">
        <v>18</v>
      </c>
      <c r="AF27" s="1246">
        <v>0</v>
      </c>
      <c r="AG27" s="1246">
        <v>0</v>
      </c>
    </row>
    <row r="28" spans="1:33" ht="18">
      <c r="A28" s="1251" t="s">
        <v>2314</v>
      </c>
      <c r="B28" s="1245">
        <v>126</v>
      </c>
      <c r="C28" s="1245">
        <v>45</v>
      </c>
      <c r="D28" s="1245">
        <v>65</v>
      </c>
      <c r="E28" s="1245">
        <v>22</v>
      </c>
      <c r="F28" s="1240">
        <v>13</v>
      </c>
      <c r="G28" s="1240">
        <v>4</v>
      </c>
      <c r="H28" s="1240">
        <v>8</v>
      </c>
      <c r="I28" s="1240">
        <v>5</v>
      </c>
      <c r="J28" s="1240">
        <v>12</v>
      </c>
      <c r="K28" s="1240">
        <v>6</v>
      </c>
      <c r="L28" s="1240">
        <v>11</v>
      </c>
      <c r="M28" s="1240">
        <v>0</v>
      </c>
      <c r="N28" s="1240">
        <v>21</v>
      </c>
      <c r="O28" s="1240">
        <v>7</v>
      </c>
      <c r="P28" s="1242">
        <v>61</v>
      </c>
      <c r="Q28" s="1242">
        <v>23</v>
      </c>
      <c r="R28" s="1240">
        <v>16</v>
      </c>
      <c r="S28" s="1240">
        <v>6</v>
      </c>
      <c r="T28" s="1240">
        <v>17</v>
      </c>
      <c r="U28" s="1240">
        <v>6</v>
      </c>
      <c r="V28" s="1240">
        <v>12</v>
      </c>
      <c r="W28" s="1240">
        <v>7</v>
      </c>
      <c r="X28" s="1240">
        <v>16</v>
      </c>
      <c r="Y28" s="1240">
        <v>4</v>
      </c>
      <c r="Z28" s="1242">
        <v>0</v>
      </c>
      <c r="AA28" s="1242">
        <v>0</v>
      </c>
      <c r="AB28" s="1240">
        <v>0</v>
      </c>
      <c r="AC28" s="1240">
        <v>0</v>
      </c>
      <c r="AD28" s="1240">
        <v>0</v>
      </c>
      <c r="AE28" s="1240">
        <v>0</v>
      </c>
      <c r="AF28" s="1240">
        <v>0</v>
      </c>
      <c r="AG28" s="1240">
        <v>0</v>
      </c>
    </row>
    <row r="29" spans="1:33">
      <c r="A29" s="1244" t="s">
        <v>287</v>
      </c>
      <c r="B29" s="1245">
        <v>176</v>
      </c>
      <c r="C29" s="1245">
        <v>99</v>
      </c>
      <c r="D29" s="1245">
        <v>95</v>
      </c>
      <c r="E29" s="1245">
        <v>51</v>
      </c>
      <c r="F29" s="1246">
        <v>26</v>
      </c>
      <c r="G29" s="1246">
        <v>17</v>
      </c>
      <c r="H29" s="1246">
        <v>16</v>
      </c>
      <c r="I29" s="1246">
        <v>8</v>
      </c>
      <c r="J29" s="1246">
        <v>16</v>
      </c>
      <c r="K29" s="1246">
        <v>8</v>
      </c>
      <c r="L29" s="1246">
        <v>19</v>
      </c>
      <c r="M29" s="1246">
        <v>10</v>
      </c>
      <c r="N29" s="1246">
        <v>18</v>
      </c>
      <c r="O29" s="1246">
        <v>8</v>
      </c>
      <c r="P29" s="1247">
        <v>81</v>
      </c>
      <c r="Q29" s="1247">
        <v>48</v>
      </c>
      <c r="R29" s="1246">
        <v>18</v>
      </c>
      <c r="S29" s="1246">
        <v>13</v>
      </c>
      <c r="T29" s="1246">
        <v>12</v>
      </c>
      <c r="U29" s="1246">
        <v>5</v>
      </c>
      <c r="V29" s="1246">
        <v>18</v>
      </c>
      <c r="W29" s="1246">
        <v>14</v>
      </c>
      <c r="X29" s="1246">
        <v>33</v>
      </c>
      <c r="Y29" s="1246">
        <v>16</v>
      </c>
      <c r="Z29" s="1247">
        <v>0</v>
      </c>
      <c r="AA29" s="1247">
        <v>0</v>
      </c>
      <c r="AB29" s="1246">
        <v>0</v>
      </c>
      <c r="AC29" s="1246">
        <v>0</v>
      </c>
      <c r="AD29" s="1246">
        <v>0</v>
      </c>
      <c r="AE29" s="1246">
        <v>0</v>
      </c>
      <c r="AF29" s="1246">
        <v>0</v>
      </c>
      <c r="AG29" s="1246">
        <v>0</v>
      </c>
    </row>
    <row r="30" spans="1:33">
      <c r="A30" s="1244" t="s">
        <v>289</v>
      </c>
      <c r="B30" s="1245">
        <v>590</v>
      </c>
      <c r="C30" s="1245">
        <v>267</v>
      </c>
      <c r="D30" s="1245">
        <v>305</v>
      </c>
      <c r="E30" s="1245">
        <v>144</v>
      </c>
      <c r="F30" s="1246">
        <v>57</v>
      </c>
      <c r="G30" s="1246">
        <v>20</v>
      </c>
      <c r="H30" s="1246">
        <v>51</v>
      </c>
      <c r="I30" s="1246">
        <v>23</v>
      </c>
      <c r="J30" s="1246">
        <v>44</v>
      </c>
      <c r="K30" s="1246">
        <v>21</v>
      </c>
      <c r="L30" s="1246">
        <v>74</v>
      </c>
      <c r="M30" s="1246">
        <v>34</v>
      </c>
      <c r="N30" s="1246">
        <v>79</v>
      </c>
      <c r="O30" s="1246">
        <v>46</v>
      </c>
      <c r="P30" s="1247">
        <v>174</v>
      </c>
      <c r="Q30" s="1247">
        <v>80</v>
      </c>
      <c r="R30" s="1246">
        <v>54</v>
      </c>
      <c r="S30" s="1246">
        <v>28</v>
      </c>
      <c r="T30" s="1246">
        <v>59</v>
      </c>
      <c r="U30" s="1246">
        <v>25</v>
      </c>
      <c r="V30" s="1246">
        <v>37</v>
      </c>
      <c r="W30" s="1246">
        <v>18</v>
      </c>
      <c r="X30" s="1246">
        <v>24</v>
      </c>
      <c r="Y30" s="1246">
        <v>9</v>
      </c>
      <c r="Z30" s="1247">
        <v>111</v>
      </c>
      <c r="AA30" s="1247">
        <v>43</v>
      </c>
      <c r="AB30" s="1246">
        <v>56</v>
      </c>
      <c r="AC30" s="1246">
        <v>23</v>
      </c>
      <c r="AD30" s="1246">
        <v>55</v>
      </c>
      <c r="AE30" s="1246">
        <v>20</v>
      </c>
      <c r="AF30" s="1246">
        <v>0</v>
      </c>
      <c r="AG30" s="1246">
        <v>0</v>
      </c>
    </row>
    <row r="31" spans="1:33">
      <c r="A31" s="1244" t="s">
        <v>291</v>
      </c>
      <c r="B31" s="1245">
        <v>377</v>
      </c>
      <c r="C31" s="1245">
        <v>192</v>
      </c>
      <c r="D31" s="1245">
        <v>189</v>
      </c>
      <c r="E31" s="1245">
        <v>91</v>
      </c>
      <c r="F31" s="1246">
        <v>41</v>
      </c>
      <c r="G31" s="1246">
        <v>21</v>
      </c>
      <c r="H31" s="1246">
        <v>25</v>
      </c>
      <c r="I31" s="1246">
        <v>16</v>
      </c>
      <c r="J31" s="1246">
        <v>38</v>
      </c>
      <c r="K31" s="1246">
        <v>18</v>
      </c>
      <c r="L31" s="1246">
        <v>48</v>
      </c>
      <c r="M31" s="1246">
        <v>17</v>
      </c>
      <c r="N31" s="1246">
        <v>37</v>
      </c>
      <c r="O31" s="1246">
        <v>19</v>
      </c>
      <c r="P31" s="1247">
        <v>139</v>
      </c>
      <c r="Q31" s="1247">
        <v>77</v>
      </c>
      <c r="R31" s="1246">
        <v>38</v>
      </c>
      <c r="S31" s="1246">
        <v>24</v>
      </c>
      <c r="T31" s="1246">
        <v>41</v>
      </c>
      <c r="U31" s="1246">
        <v>22</v>
      </c>
      <c r="V31" s="1246">
        <v>30</v>
      </c>
      <c r="W31" s="1246">
        <v>16</v>
      </c>
      <c r="X31" s="1246">
        <v>30</v>
      </c>
      <c r="Y31" s="1246">
        <v>15</v>
      </c>
      <c r="Z31" s="1247">
        <v>49</v>
      </c>
      <c r="AA31" s="1247">
        <v>24</v>
      </c>
      <c r="AB31" s="1246">
        <v>19</v>
      </c>
      <c r="AC31" s="1246">
        <v>10</v>
      </c>
      <c r="AD31" s="1246">
        <v>30</v>
      </c>
      <c r="AE31" s="1246">
        <v>14</v>
      </c>
      <c r="AF31" s="1246">
        <v>0</v>
      </c>
      <c r="AG31" s="1246">
        <v>0</v>
      </c>
    </row>
    <row r="32" spans="1:33">
      <c r="A32" s="1244" t="s">
        <v>292</v>
      </c>
      <c r="B32" s="1245">
        <v>310</v>
      </c>
      <c r="C32" s="1245">
        <v>146</v>
      </c>
      <c r="D32" s="1245">
        <v>160</v>
      </c>
      <c r="E32" s="1245">
        <v>75</v>
      </c>
      <c r="F32" s="1246">
        <v>27</v>
      </c>
      <c r="G32" s="1246">
        <v>15</v>
      </c>
      <c r="H32" s="1246">
        <v>32</v>
      </c>
      <c r="I32" s="1246">
        <v>17</v>
      </c>
      <c r="J32" s="1246">
        <v>31</v>
      </c>
      <c r="K32" s="1246">
        <v>13</v>
      </c>
      <c r="L32" s="1246">
        <v>46</v>
      </c>
      <c r="M32" s="1246">
        <v>22</v>
      </c>
      <c r="N32" s="1246">
        <v>24</v>
      </c>
      <c r="O32" s="1246">
        <v>8</v>
      </c>
      <c r="P32" s="1247">
        <v>82</v>
      </c>
      <c r="Q32" s="1247">
        <v>35</v>
      </c>
      <c r="R32" s="1246">
        <v>15</v>
      </c>
      <c r="S32" s="1246">
        <v>6</v>
      </c>
      <c r="T32" s="1246">
        <v>39</v>
      </c>
      <c r="U32" s="1246">
        <v>14</v>
      </c>
      <c r="V32" s="1246">
        <v>0</v>
      </c>
      <c r="W32" s="1246">
        <v>0</v>
      </c>
      <c r="X32" s="1246">
        <v>28</v>
      </c>
      <c r="Y32" s="1246">
        <v>15</v>
      </c>
      <c r="Z32" s="1247">
        <v>68</v>
      </c>
      <c r="AA32" s="1247">
        <v>36</v>
      </c>
      <c r="AB32" s="1246">
        <v>35</v>
      </c>
      <c r="AC32" s="1246">
        <v>21</v>
      </c>
      <c r="AD32" s="1246">
        <v>33</v>
      </c>
      <c r="AE32" s="1246">
        <v>15</v>
      </c>
      <c r="AF32" s="1246">
        <v>0</v>
      </c>
      <c r="AG32" s="1246">
        <v>0</v>
      </c>
    </row>
    <row r="33" spans="1:33" ht="27">
      <c r="A33" s="1252" t="s">
        <v>2313</v>
      </c>
      <c r="B33" s="1249">
        <f>SUM(B10:B32)</f>
        <v>13308</v>
      </c>
      <c r="C33" s="1249">
        <f t="shared" ref="C33:AG33" si="1">SUM(C10:C32)</f>
        <v>6624</v>
      </c>
      <c r="D33" s="1249">
        <f t="shared" si="1"/>
        <v>6710</v>
      </c>
      <c r="E33" s="1249">
        <f t="shared" si="1"/>
        <v>3246</v>
      </c>
      <c r="F33" s="1249">
        <f t="shared" si="1"/>
        <v>1231</v>
      </c>
      <c r="G33" s="1249">
        <f t="shared" si="1"/>
        <v>623</v>
      </c>
      <c r="H33" s="1249">
        <f t="shared" si="1"/>
        <v>1250</v>
      </c>
      <c r="I33" s="1249">
        <f t="shared" si="1"/>
        <v>607</v>
      </c>
      <c r="J33" s="1249">
        <f t="shared" si="1"/>
        <v>1147</v>
      </c>
      <c r="K33" s="1249">
        <f t="shared" si="1"/>
        <v>550</v>
      </c>
      <c r="L33" s="1249">
        <f t="shared" si="1"/>
        <v>1506</v>
      </c>
      <c r="M33" s="1249">
        <f t="shared" si="1"/>
        <v>714</v>
      </c>
      <c r="N33" s="1249">
        <f t="shared" si="1"/>
        <v>1576</v>
      </c>
      <c r="O33" s="1249">
        <f t="shared" si="1"/>
        <v>752</v>
      </c>
      <c r="P33" s="1249">
        <f t="shared" si="1"/>
        <v>4358</v>
      </c>
      <c r="Q33" s="1249">
        <f t="shared" si="1"/>
        <v>2147</v>
      </c>
      <c r="R33" s="1249">
        <f t="shared" si="1"/>
        <v>1298</v>
      </c>
      <c r="S33" s="1249">
        <f t="shared" si="1"/>
        <v>626</v>
      </c>
      <c r="T33" s="1249">
        <f t="shared" si="1"/>
        <v>1343</v>
      </c>
      <c r="U33" s="1249">
        <f t="shared" si="1"/>
        <v>691</v>
      </c>
      <c r="V33" s="1249">
        <f t="shared" si="1"/>
        <v>958</v>
      </c>
      <c r="W33" s="1249">
        <f t="shared" si="1"/>
        <v>473</v>
      </c>
      <c r="X33" s="1249">
        <f t="shared" si="1"/>
        <v>759</v>
      </c>
      <c r="Y33" s="1249">
        <f t="shared" si="1"/>
        <v>357</v>
      </c>
      <c r="Z33" s="1249">
        <f t="shared" si="1"/>
        <v>2240</v>
      </c>
      <c r="AA33" s="1249">
        <f t="shared" si="1"/>
        <v>1231</v>
      </c>
      <c r="AB33" s="1249">
        <f t="shared" si="1"/>
        <v>1165</v>
      </c>
      <c r="AC33" s="1249">
        <f t="shared" si="1"/>
        <v>649</v>
      </c>
      <c r="AD33" s="1249">
        <f t="shared" si="1"/>
        <v>1075</v>
      </c>
      <c r="AE33" s="1249">
        <f t="shared" si="1"/>
        <v>582</v>
      </c>
      <c r="AF33" s="1249">
        <f t="shared" si="1"/>
        <v>0</v>
      </c>
      <c r="AG33" s="1249">
        <f t="shared" si="1"/>
        <v>0</v>
      </c>
    </row>
    <row r="34" spans="1:33">
      <c r="A34" s="1248" t="s">
        <v>1129</v>
      </c>
      <c r="B34" s="1245">
        <v>116</v>
      </c>
      <c r="C34" s="1245">
        <v>60</v>
      </c>
      <c r="D34" s="1245">
        <v>86</v>
      </c>
      <c r="E34" s="1245">
        <v>45</v>
      </c>
      <c r="F34" s="1246">
        <v>23</v>
      </c>
      <c r="G34" s="1246">
        <v>13</v>
      </c>
      <c r="H34" s="1246">
        <v>12</v>
      </c>
      <c r="I34" s="1246">
        <v>9</v>
      </c>
      <c r="J34" s="1246">
        <v>15</v>
      </c>
      <c r="K34" s="1246">
        <v>7</v>
      </c>
      <c r="L34" s="1246">
        <v>16</v>
      </c>
      <c r="M34" s="1246">
        <v>6</v>
      </c>
      <c r="N34" s="1246">
        <v>20</v>
      </c>
      <c r="O34" s="1246">
        <v>10</v>
      </c>
      <c r="P34" s="1247">
        <v>30</v>
      </c>
      <c r="Q34" s="1247">
        <v>15</v>
      </c>
      <c r="R34" s="1246">
        <v>15</v>
      </c>
      <c r="S34" s="1246">
        <v>11</v>
      </c>
      <c r="T34" s="1246">
        <v>0</v>
      </c>
      <c r="U34" s="1246">
        <v>0</v>
      </c>
      <c r="V34" s="1246">
        <v>0</v>
      </c>
      <c r="W34" s="1246">
        <v>0</v>
      </c>
      <c r="X34" s="1246">
        <v>15</v>
      </c>
      <c r="Y34" s="1246">
        <v>4</v>
      </c>
      <c r="Z34" s="1247">
        <v>0</v>
      </c>
      <c r="AA34" s="1247">
        <v>0</v>
      </c>
      <c r="AB34" s="1246">
        <v>0</v>
      </c>
      <c r="AC34" s="1246">
        <v>0</v>
      </c>
      <c r="AD34" s="1246">
        <v>0</v>
      </c>
      <c r="AE34" s="1246">
        <v>0</v>
      </c>
      <c r="AF34" s="1246">
        <v>0</v>
      </c>
      <c r="AG34" s="1246">
        <v>0</v>
      </c>
    </row>
    <row r="35" spans="1:33">
      <c r="A35" s="1248" t="s">
        <v>1130</v>
      </c>
      <c r="B35" s="1245">
        <v>164</v>
      </c>
      <c r="C35" s="1245">
        <v>82</v>
      </c>
      <c r="D35" s="1245">
        <v>86</v>
      </c>
      <c r="E35" s="1245">
        <v>36</v>
      </c>
      <c r="F35" s="1246">
        <v>12</v>
      </c>
      <c r="G35" s="1246">
        <v>5</v>
      </c>
      <c r="H35" s="1246">
        <v>15</v>
      </c>
      <c r="I35" s="1246">
        <v>4</v>
      </c>
      <c r="J35" s="1246">
        <v>18</v>
      </c>
      <c r="K35" s="1246">
        <v>12</v>
      </c>
      <c r="L35" s="1246">
        <v>17</v>
      </c>
      <c r="M35" s="1246">
        <v>7</v>
      </c>
      <c r="N35" s="1246">
        <v>24</v>
      </c>
      <c r="O35" s="1246">
        <v>8</v>
      </c>
      <c r="P35" s="1247">
        <v>42</v>
      </c>
      <c r="Q35" s="1247">
        <v>23</v>
      </c>
      <c r="R35" s="1246">
        <v>15</v>
      </c>
      <c r="S35" s="1246">
        <v>9</v>
      </c>
      <c r="T35" s="1246">
        <v>14</v>
      </c>
      <c r="U35" s="1246">
        <v>7</v>
      </c>
      <c r="V35" s="1246">
        <v>13</v>
      </c>
      <c r="W35" s="1246">
        <v>7</v>
      </c>
      <c r="X35" s="1246">
        <v>0</v>
      </c>
      <c r="Y35" s="1246">
        <v>0</v>
      </c>
      <c r="Z35" s="1247">
        <v>36</v>
      </c>
      <c r="AA35" s="1247">
        <v>23</v>
      </c>
      <c r="AB35" s="1246">
        <v>24</v>
      </c>
      <c r="AC35" s="1246">
        <v>15</v>
      </c>
      <c r="AD35" s="1246">
        <v>12</v>
      </c>
      <c r="AE35" s="1246">
        <v>8</v>
      </c>
      <c r="AF35" s="1246">
        <v>0</v>
      </c>
      <c r="AG35" s="1246">
        <v>0</v>
      </c>
    </row>
    <row r="36" spans="1:33" ht="27">
      <c r="A36" s="1250" t="s">
        <v>2312</v>
      </c>
      <c r="B36" s="1249">
        <f t="shared" ref="B36:AG36" si="2">SUM(B34:B35)</f>
        <v>280</v>
      </c>
      <c r="C36" s="1249">
        <f t="shared" si="2"/>
        <v>142</v>
      </c>
      <c r="D36" s="1249">
        <f t="shared" si="2"/>
        <v>172</v>
      </c>
      <c r="E36" s="1249">
        <f t="shared" si="2"/>
        <v>81</v>
      </c>
      <c r="F36" s="1249">
        <f t="shared" si="2"/>
        <v>35</v>
      </c>
      <c r="G36" s="1249">
        <f t="shared" si="2"/>
        <v>18</v>
      </c>
      <c r="H36" s="1249">
        <f t="shared" si="2"/>
        <v>27</v>
      </c>
      <c r="I36" s="1249">
        <f t="shared" si="2"/>
        <v>13</v>
      </c>
      <c r="J36" s="1249">
        <f t="shared" si="2"/>
        <v>33</v>
      </c>
      <c r="K36" s="1249">
        <f t="shared" si="2"/>
        <v>19</v>
      </c>
      <c r="L36" s="1249">
        <f t="shared" si="2"/>
        <v>33</v>
      </c>
      <c r="M36" s="1249">
        <f t="shared" si="2"/>
        <v>13</v>
      </c>
      <c r="N36" s="1249">
        <f t="shared" si="2"/>
        <v>44</v>
      </c>
      <c r="O36" s="1249">
        <f t="shared" si="2"/>
        <v>18</v>
      </c>
      <c r="P36" s="1249">
        <f t="shared" si="2"/>
        <v>72</v>
      </c>
      <c r="Q36" s="1249">
        <f t="shared" si="2"/>
        <v>38</v>
      </c>
      <c r="R36" s="1249">
        <f t="shared" si="2"/>
        <v>30</v>
      </c>
      <c r="S36" s="1249">
        <f t="shared" si="2"/>
        <v>20</v>
      </c>
      <c r="T36" s="1249">
        <f t="shared" si="2"/>
        <v>14</v>
      </c>
      <c r="U36" s="1249">
        <f t="shared" si="2"/>
        <v>7</v>
      </c>
      <c r="V36" s="1249">
        <f t="shared" si="2"/>
        <v>13</v>
      </c>
      <c r="W36" s="1249">
        <f t="shared" si="2"/>
        <v>7</v>
      </c>
      <c r="X36" s="1249">
        <f t="shared" si="2"/>
        <v>15</v>
      </c>
      <c r="Y36" s="1249">
        <f t="shared" si="2"/>
        <v>4</v>
      </c>
      <c r="Z36" s="1249">
        <f t="shared" si="2"/>
        <v>36</v>
      </c>
      <c r="AA36" s="1249">
        <f t="shared" si="2"/>
        <v>23</v>
      </c>
      <c r="AB36" s="1249">
        <f t="shared" si="2"/>
        <v>24</v>
      </c>
      <c r="AC36" s="1249">
        <f t="shared" si="2"/>
        <v>15</v>
      </c>
      <c r="AD36" s="1249">
        <f t="shared" si="2"/>
        <v>12</v>
      </c>
      <c r="AE36" s="1249">
        <f t="shared" si="2"/>
        <v>8</v>
      </c>
      <c r="AF36" s="1249">
        <f t="shared" si="2"/>
        <v>0</v>
      </c>
      <c r="AG36" s="1249">
        <f t="shared" si="2"/>
        <v>0</v>
      </c>
    </row>
    <row r="37" spans="1:33">
      <c r="A37" s="1239"/>
      <c r="B37" s="1239"/>
      <c r="C37" s="1239"/>
      <c r="D37" s="1239"/>
      <c r="E37" s="1239"/>
      <c r="F37" s="1239"/>
      <c r="G37" s="1239"/>
      <c r="H37" s="1239"/>
      <c r="I37" s="1239"/>
      <c r="J37" s="1239"/>
      <c r="K37" s="1239"/>
      <c r="L37" s="1239"/>
      <c r="M37" s="1239"/>
      <c r="N37" s="1239"/>
      <c r="O37" s="1239"/>
      <c r="P37" s="1239"/>
      <c r="Q37" s="1239"/>
      <c r="R37" s="1239"/>
      <c r="S37" s="1239"/>
      <c r="T37" s="1239"/>
      <c r="U37" s="1239"/>
      <c r="V37" s="1239"/>
      <c r="W37" s="1239"/>
      <c r="X37" s="1239"/>
      <c r="Y37" s="1239"/>
      <c r="Z37" s="1239"/>
      <c r="AA37" s="1239"/>
      <c r="AB37" s="1239"/>
      <c r="AC37" s="1239"/>
      <c r="AD37" s="1239"/>
      <c r="AE37" s="1239"/>
      <c r="AF37" s="1239"/>
      <c r="AG37" s="1239"/>
    </row>
  </sheetData>
  <mergeCells count="22">
    <mergeCell ref="Z6:AA6"/>
    <mergeCell ref="P6:Q6"/>
    <mergeCell ref="R6:S6"/>
    <mergeCell ref="T6:U6"/>
    <mergeCell ref="V6:W6"/>
    <mergeCell ref="X6:Y6"/>
    <mergeCell ref="A2:AG2"/>
    <mergeCell ref="A3:AG3"/>
    <mergeCell ref="A5:A7"/>
    <mergeCell ref="B5:C6"/>
    <mergeCell ref="D5:O5"/>
    <mergeCell ref="P5:Y5"/>
    <mergeCell ref="Z5:AG5"/>
    <mergeCell ref="D6:E6"/>
    <mergeCell ref="F6:G6"/>
    <mergeCell ref="H6:I6"/>
    <mergeCell ref="J6:K6"/>
    <mergeCell ref="L6:M6"/>
    <mergeCell ref="N6:O6"/>
    <mergeCell ref="AB6:AC6"/>
    <mergeCell ref="AD6:AE6"/>
    <mergeCell ref="AF6:AG6"/>
  </mergeCell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45"/>
  <sheetViews>
    <sheetView workbookViewId="0">
      <selection activeCell="P39" sqref="P39"/>
    </sheetView>
  </sheetViews>
  <sheetFormatPr defaultRowHeight="12.75"/>
  <cols>
    <col min="1" max="1" width="11.42578125" style="99" customWidth="1"/>
    <col min="2" max="2" width="19" style="99" customWidth="1"/>
    <col min="3" max="16384" width="9.140625" style="99"/>
  </cols>
  <sheetData>
    <row r="1" spans="1:15">
      <c r="A1" s="359"/>
      <c r="I1" s="507"/>
    </row>
    <row r="2" spans="1:15" s="359" customFormat="1" ht="12">
      <c r="A2" s="1747"/>
      <c r="B2" s="1747"/>
      <c r="C2" s="485"/>
      <c r="D2" s="485"/>
      <c r="E2" s="485"/>
      <c r="F2" s="485"/>
      <c r="G2" s="522"/>
      <c r="H2" s="523"/>
      <c r="I2" s="523"/>
      <c r="J2" s="524"/>
      <c r="K2" s="524"/>
      <c r="L2" s="524"/>
      <c r="M2" s="524"/>
      <c r="N2" s="523"/>
      <c r="O2" s="523"/>
    </row>
    <row r="3" spans="1:15" s="386" customFormat="1">
      <c r="C3" s="1514" t="s">
        <v>1180</v>
      </c>
      <c r="D3" s="1514"/>
      <c r="E3" s="1514"/>
      <c r="F3" s="1514"/>
      <c r="G3" s="1514"/>
      <c r="H3" s="1514"/>
      <c r="I3" s="1514"/>
      <c r="J3" s="1514"/>
    </row>
    <row r="4" spans="1:15" ht="15">
      <c r="C4" s="505"/>
      <c r="H4" s="507"/>
    </row>
    <row r="5" spans="1:15">
      <c r="F5" s="358"/>
      <c r="G5" s="525" t="s">
        <v>1181</v>
      </c>
      <c r="H5" s="507"/>
    </row>
    <row r="6" spans="1:15">
      <c r="A6" s="1748" t="s">
        <v>959</v>
      </c>
      <c r="B6" s="1748"/>
      <c r="C6" s="1748" t="s">
        <v>960</v>
      </c>
      <c r="D6" s="1415" t="s">
        <v>1182</v>
      </c>
      <c r="E6" s="1415"/>
      <c r="F6" s="1415" t="s">
        <v>1183</v>
      </c>
      <c r="G6" s="1415"/>
      <c r="H6" s="1415"/>
      <c r="I6" s="1415"/>
      <c r="J6" s="1415"/>
      <c r="K6" s="1415"/>
      <c r="L6" s="1415" t="s">
        <v>1184</v>
      </c>
      <c r="M6" s="1415"/>
    </row>
    <row r="7" spans="1:15">
      <c r="A7" s="1748"/>
      <c r="B7" s="1748"/>
      <c r="C7" s="1748"/>
      <c r="D7" s="1415"/>
      <c r="E7" s="1415"/>
      <c r="F7" s="1415" t="s">
        <v>1185</v>
      </c>
      <c r="G7" s="1415"/>
      <c r="H7" s="1415" t="s">
        <v>1132</v>
      </c>
      <c r="I7" s="1415"/>
      <c r="J7" s="1415" t="s">
        <v>1186</v>
      </c>
      <c r="K7" s="1415"/>
      <c r="L7" s="1415"/>
      <c r="M7" s="1415"/>
    </row>
    <row r="8" spans="1:15">
      <c r="A8" s="1748"/>
      <c r="B8" s="1748"/>
      <c r="C8" s="1748"/>
      <c r="D8" s="1415"/>
      <c r="E8" s="1415"/>
      <c r="F8" s="1415"/>
      <c r="G8" s="1415"/>
      <c r="H8" s="1415" t="s">
        <v>1187</v>
      </c>
      <c r="I8" s="1415"/>
      <c r="J8" s="1415"/>
      <c r="K8" s="1415"/>
      <c r="L8" s="1415"/>
      <c r="M8" s="1415"/>
    </row>
    <row r="9" spans="1:15">
      <c r="A9" s="1748"/>
      <c r="B9" s="1748"/>
      <c r="C9" s="1748"/>
      <c r="D9" s="1415"/>
      <c r="E9" s="1415"/>
      <c r="F9" s="1415"/>
      <c r="G9" s="1415"/>
      <c r="H9" s="1415"/>
      <c r="I9" s="1415"/>
      <c r="J9" s="1415"/>
      <c r="K9" s="1415"/>
      <c r="L9" s="1415"/>
      <c r="M9" s="1415"/>
    </row>
    <row r="10" spans="1:15">
      <c r="A10" s="1748"/>
      <c r="B10" s="1748"/>
      <c r="C10" s="1748"/>
      <c r="D10" s="293" t="s">
        <v>276</v>
      </c>
      <c r="E10" s="293" t="s">
        <v>272</v>
      </c>
      <c r="F10" s="383" t="s">
        <v>276</v>
      </c>
      <c r="G10" s="383" t="s">
        <v>272</v>
      </c>
      <c r="H10" s="293" t="s">
        <v>276</v>
      </c>
      <c r="I10" s="293" t="s">
        <v>272</v>
      </c>
      <c r="J10" s="293" t="s">
        <v>276</v>
      </c>
      <c r="K10" s="293" t="s">
        <v>272</v>
      </c>
      <c r="L10" s="293" t="s">
        <v>276</v>
      </c>
      <c r="M10" s="293" t="s">
        <v>272</v>
      </c>
    </row>
    <row r="11" spans="1:15">
      <c r="A11" s="1741" t="s">
        <v>277</v>
      </c>
      <c r="B11" s="1741"/>
      <c r="C11" s="293" t="s">
        <v>964</v>
      </c>
      <c r="D11" s="526" t="s">
        <v>979</v>
      </c>
      <c r="E11" s="526" t="s">
        <v>965</v>
      </c>
      <c r="F11" s="527" t="s">
        <v>966</v>
      </c>
      <c r="G11" s="527" t="s">
        <v>967</v>
      </c>
      <c r="H11" s="526" t="s">
        <v>968</v>
      </c>
      <c r="I11" s="526" t="s">
        <v>969</v>
      </c>
      <c r="J11" s="526" t="s">
        <v>970</v>
      </c>
      <c r="K11" s="526" t="s">
        <v>971</v>
      </c>
      <c r="L11" s="526" t="s">
        <v>972</v>
      </c>
      <c r="M11" s="526" t="s">
        <v>973</v>
      </c>
    </row>
    <row r="12" spans="1:15">
      <c r="A12" s="1742" t="s">
        <v>1188</v>
      </c>
      <c r="B12" s="1742"/>
      <c r="C12" s="458" t="s">
        <v>979</v>
      </c>
      <c r="D12" s="460">
        <v>1350</v>
      </c>
      <c r="E12" s="460">
        <v>1004</v>
      </c>
      <c r="F12" s="460">
        <v>1333</v>
      </c>
      <c r="G12" s="460">
        <v>994</v>
      </c>
      <c r="H12" s="460">
        <v>7</v>
      </c>
      <c r="I12" s="460">
        <v>7</v>
      </c>
      <c r="J12" s="460">
        <v>17</v>
      </c>
      <c r="K12" s="460">
        <v>10</v>
      </c>
      <c r="L12" s="461">
        <v>40</v>
      </c>
      <c r="M12" s="461">
        <v>6</v>
      </c>
    </row>
    <row r="13" spans="1:15">
      <c r="A13" s="1739" t="s">
        <v>1189</v>
      </c>
      <c r="B13" s="1739"/>
      <c r="C13" s="458" t="s">
        <v>965</v>
      </c>
      <c r="D13" s="464">
        <v>2</v>
      </c>
      <c r="E13" s="464">
        <v>2</v>
      </c>
      <c r="F13" s="385">
        <v>2</v>
      </c>
      <c r="G13" s="385">
        <v>2</v>
      </c>
      <c r="H13" s="385">
        <v>0</v>
      </c>
      <c r="I13" s="385">
        <v>0</v>
      </c>
      <c r="J13" s="385">
        <v>0</v>
      </c>
      <c r="K13" s="385">
        <v>0</v>
      </c>
      <c r="L13" s="97" t="s">
        <v>1190</v>
      </c>
      <c r="M13" s="97" t="s">
        <v>1190</v>
      </c>
    </row>
    <row r="14" spans="1:15">
      <c r="A14" s="1739" t="s">
        <v>1191</v>
      </c>
      <c r="B14" s="1739"/>
      <c r="C14" s="458" t="s">
        <v>966</v>
      </c>
      <c r="D14" s="464">
        <v>23</v>
      </c>
      <c r="E14" s="464">
        <v>20</v>
      </c>
      <c r="F14" s="385">
        <v>23</v>
      </c>
      <c r="G14" s="385">
        <v>20</v>
      </c>
      <c r="H14" s="385">
        <v>0</v>
      </c>
      <c r="I14" s="385">
        <v>0</v>
      </c>
      <c r="J14" s="385">
        <v>0</v>
      </c>
      <c r="K14" s="385">
        <v>0</v>
      </c>
      <c r="L14" s="97" t="s">
        <v>1190</v>
      </c>
      <c r="M14" s="97" t="s">
        <v>1190</v>
      </c>
    </row>
    <row r="15" spans="1:15">
      <c r="A15" s="1739" t="s">
        <v>1019</v>
      </c>
      <c r="B15" s="1739"/>
      <c r="C15" s="458" t="s">
        <v>967</v>
      </c>
      <c r="D15" s="464">
        <v>43</v>
      </c>
      <c r="E15" s="464">
        <v>37</v>
      </c>
      <c r="F15" s="385">
        <v>43</v>
      </c>
      <c r="G15" s="385">
        <v>37</v>
      </c>
      <c r="H15" s="385">
        <v>2</v>
      </c>
      <c r="I15" s="385">
        <v>2</v>
      </c>
      <c r="J15" s="385">
        <v>0</v>
      </c>
      <c r="K15" s="385">
        <v>0</v>
      </c>
      <c r="L15" s="97" t="s">
        <v>1190</v>
      </c>
      <c r="M15" s="97" t="s">
        <v>1190</v>
      </c>
    </row>
    <row r="16" spans="1:15">
      <c r="A16" s="1739" t="s">
        <v>1192</v>
      </c>
      <c r="B16" s="1739"/>
      <c r="C16" s="458" t="s">
        <v>968</v>
      </c>
      <c r="D16" s="464">
        <v>26</v>
      </c>
      <c r="E16" s="464">
        <v>20</v>
      </c>
      <c r="F16" s="385">
        <v>26</v>
      </c>
      <c r="G16" s="385">
        <v>20</v>
      </c>
      <c r="H16" s="385">
        <v>0</v>
      </c>
      <c r="I16" s="385">
        <v>0</v>
      </c>
      <c r="J16" s="385">
        <v>0</v>
      </c>
      <c r="K16" s="385">
        <v>0</v>
      </c>
      <c r="L16" s="97" t="s">
        <v>1190</v>
      </c>
      <c r="M16" s="97" t="s">
        <v>1190</v>
      </c>
    </row>
    <row r="17" spans="1:13">
      <c r="A17" s="1739" t="s">
        <v>1193</v>
      </c>
      <c r="B17" s="1739"/>
      <c r="C17" s="458" t="s">
        <v>969</v>
      </c>
      <c r="D17" s="463">
        <v>781</v>
      </c>
      <c r="E17" s="463">
        <v>638</v>
      </c>
      <c r="F17" s="463">
        <v>781</v>
      </c>
      <c r="G17" s="463">
        <v>638</v>
      </c>
      <c r="H17" s="463">
        <v>5</v>
      </c>
      <c r="I17" s="463">
        <v>5</v>
      </c>
      <c r="J17" s="463">
        <v>0</v>
      </c>
      <c r="K17" s="463">
        <v>0</v>
      </c>
      <c r="L17" s="97" t="s">
        <v>1190</v>
      </c>
      <c r="M17" s="97" t="s">
        <v>1190</v>
      </c>
    </row>
    <row r="18" spans="1:13">
      <c r="A18" s="1743" t="s">
        <v>912</v>
      </c>
      <c r="B18" s="467" t="s">
        <v>1194</v>
      </c>
      <c r="C18" s="458" t="s">
        <v>970</v>
      </c>
      <c r="D18" s="464">
        <v>260</v>
      </c>
      <c r="E18" s="464">
        <v>253</v>
      </c>
      <c r="F18" s="385">
        <v>260</v>
      </c>
      <c r="G18" s="385">
        <v>253</v>
      </c>
      <c r="H18" s="385">
        <v>1</v>
      </c>
      <c r="I18" s="385">
        <v>1</v>
      </c>
      <c r="J18" s="385">
        <v>0</v>
      </c>
      <c r="K18" s="385">
        <v>0</v>
      </c>
      <c r="L18" s="97" t="s">
        <v>1190</v>
      </c>
      <c r="M18" s="97" t="s">
        <v>1190</v>
      </c>
    </row>
    <row r="19" spans="1:13">
      <c r="A19" s="1744"/>
      <c r="B19" s="467" t="s">
        <v>1195</v>
      </c>
      <c r="C19" s="458" t="s">
        <v>971</v>
      </c>
      <c r="D19" s="464">
        <v>353</v>
      </c>
      <c r="E19" s="464">
        <v>268</v>
      </c>
      <c r="F19" s="385">
        <v>353</v>
      </c>
      <c r="G19" s="385">
        <v>268</v>
      </c>
      <c r="H19" s="385">
        <v>3</v>
      </c>
      <c r="I19" s="385">
        <v>3</v>
      </c>
      <c r="J19" s="385">
        <v>0</v>
      </c>
      <c r="K19" s="385">
        <v>0</v>
      </c>
      <c r="L19" s="97" t="s">
        <v>1190</v>
      </c>
      <c r="M19" s="97" t="s">
        <v>1190</v>
      </c>
    </row>
    <row r="20" spans="1:13">
      <c r="A20" s="1744"/>
      <c r="B20" s="467" t="s">
        <v>1196</v>
      </c>
      <c r="C20" s="458" t="s">
        <v>972</v>
      </c>
      <c r="D20" s="464">
        <v>168</v>
      </c>
      <c r="E20" s="464">
        <v>117</v>
      </c>
      <c r="F20" s="385">
        <v>168</v>
      </c>
      <c r="G20" s="385">
        <v>117</v>
      </c>
      <c r="H20" s="385">
        <v>1</v>
      </c>
      <c r="I20" s="385">
        <v>1</v>
      </c>
      <c r="J20" s="385">
        <v>0</v>
      </c>
      <c r="K20" s="385">
        <v>0</v>
      </c>
      <c r="L20" s="97" t="s">
        <v>1190</v>
      </c>
      <c r="M20" s="97" t="s">
        <v>1190</v>
      </c>
    </row>
    <row r="21" spans="1:13">
      <c r="A21" s="1745" t="s">
        <v>1197</v>
      </c>
      <c r="B21" s="1746"/>
      <c r="C21" s="458" t="s">
        <v>974</v>
      </c>
      <c r="D21" s="464">
        <v>20</v>
      </c>
      <c r="E21" s="464">
        <v>12</v>
      </c>
      <c r="F21" s="385">
        <v>10</v>
      </c>
      <c r="G21" s="385">
        <v>6</v>
      </c>
      <c r="H21" s="385">
        <v>0</v>
      </c>
      <c r="I21" s="385">
        <v>0</v>
      </c>
      <c r="J21" s="385">
        <v>10</v>
      </c>
      <c r="K21" s="385">
        <v>6</v>
      </c>
      <c r="L21" s="385">
        <v>0</v>
      </c>
      <c r="M21" s="97">
        <v>0</v>
      </c>
    </row>
    <row r="22" spans="1:13">
      <c r="A22" s="1739" t="s">
        <v>1198</v>
      </c>
      <c r="B22" s="1739"/>
      <c r="C22" s="458" t="s">
        <v>11</v>
      </c>
      <c r="D22" s="464">
        <v>4</v>
      </c>
      <c r="E22" s="464">
        <v>3</v>
      </c>
      <c r="F22" s="385">
        <v>4</v>
      </c>
      <c r="G22" s="385">
        <v>3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97">
        <v>0</v>
      </c>
    </row>
    <row r="23" spans="1:13">
      <c r="A23" s="1739" t="s">
        <v>1199</v>
      </c>
      <c r="B23" s="1739"/>
      <c r="C23" s="458" t="s">
        <v>975</v>
      </c>
      <c r="D23" s="464">
        <v>0</v>
      </c>
      <c r="E23" s="464">
        <v>0</v>
      </c>
      <c r="F23" s="385">
        <v>0</v>
      </c>
      <c r="G23" s="385">
        <v>0</v>
      </c>
      <c r="H23" s="385">
        <v>0</v>
      </c>
      <c r="I23" s="385">
        <v>0</v>
      </c>
      <c r="J23" s="385">
        <v>0</v>
      </c>
      <c r="K23" s="385">
        <v>0</v>
      </c>
      <c r="L23" s="385">
        <v>0</v>
      </c>
      <c r="M23" s="97">
        <v>0</v>
      </c>
    </row>
    <row r="24" spans="1:13">
      <c r="A24" s="1739" t="s">
        <v>1200</v>
      </c>
      <c r="B24" s="1739"/>
      <c r="C24" s="458" t="s">
        <v>976</v>
      </c>
      <c r="D24" s="464">
        <v>18</v>
      </c>
      <c r="E24" s="464">
        <v>15</v>
      </c>
      <c r="F24" s="385">
        <v>18</v>
      </c>
      <c r="G24" s="385">
        <v>15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97">
        <v>0</v>
      </c>
    </row>
    <row r="25" spans="1:13">
      <c r="A25" s="1739" t="s">
        <v>1201</v>
      </c>
      <c r="B25" s="1739"/>
      <c r="C25" s="458" t="s">
        <v>977</v>
      </c>
      <c r="D25" s="464">
        <v>24</v>
      </c>
      <c r="E25" s="464">
        <v>24</v>
      </c>
      <c r="F25" s="385">
        <v>23</v>
      </c>
      <c r="G25" s="385">
        <v>23</v>
      </c>
      <c r="H25" s="385">
        <v>0</v>
      </c>
      <c r="I25" s="385">
        <v>0</v>
      </c>
      <c r="J25" s="385">
        <v>1</v>
      </c>
      <c r="K25" s="385">
        <v>1</v>
      </c>
      <c r="L25" s="385">
        <v>0</v>
      </c>
      <c r="M25" s="97">
        <v>0</v>
      </c>
    </row>
    <row r="26" spans="1:13">
      <c r="A26" s="1739" t="s">
        <v>1174</v>
      </c>
      <c r="B26" s="1739"/>
      <c r="C26" s="458" t="s">
        <v>1012</v>
      </c>
      <c r="D26" s="464">
        <v>25</v>
      </c>
      <c r="E26" s="464">
        <v>19</v>
      </c>
      <c r="F26" s="385">
        <v>24</v>
      </c>
      <c r="G26" s="385">
        <v>19</v>
      </c>
      <c r="H26" s="385">
        <v>0</v>
      </c>
      <c r="I26" s="385">
        <v>0</v>
      </c>
      <c r="J26" s="385">
        <v>1</v>
      </c>
      <c r="K26" s="385">
        <v>0</v>
      </c>
      <c r="L26" s="385">
        <v>0</v>
      </c>
      <c r="M26" s="97">
        <v>0</v>
      </c>
    </row>
    <row r="27" spans="1:13">
      <c r="A27" s="1739" t="s">
        <v>1202</v>
      </c>
      <c r="B27" s="1739"/>
      <c r="C27" s="458" t="s">
        <v>1013</v>
      </c>
      <c r="D27" s="464">
        <v>7</v>
      </c>
      <c r="E27" s="464">
        <v>7</v>
      </c>
      <c r="F27" s="385">
        <v>7</v>
      </c>
      <c r="G27" s="385">
        <v>7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97">
        <v>0</v>
      </c>
    </row>
    <row r="28" spans="1:13">
      <c r="A28" s="1739" t="s">
        <v>1203</v>
      </c>
      <c r="B28" s="1739"/>
      <c r="C28" s="458" t="s">
        <v>1014</v>
      </c>
      <c r="D28" s="464">
        <v>15</v>
      </c>
      <c r="E28" s="464">
        <v>15</v>
      </c>
      <c r="F28" s="385">
        <v>15</v>
      </c>
      <c r="G28" s="385">
        <v>15</v>
      </c>
      <c r="H28" s="385">
        <v>0</v>
      </c>
      <c r="I28" s="385">
        <v>0</v>
      </c>
      <c r="J28" s="385">
        <v>0</v>
      </c>
      <c r="K28" s="385">
        <v>0</v>
      </c>
      <c r="L28" s="385">
        <v>0</v>
      </c>
      <c r="M28" s="97">
        <v>0</v>
      </c>
    </row>
    <row r="29" spans="1:13">
      <c r="A29" s="1739" t="s">
        <v>1204</v>
      </c>
      <c r="B29" s="1739"/>
      <c r="C29" s="458" t="s">
        <v>1015</v>
      </c>
      <c r="D29" s="464">
        <v>11</v>
      </c>
      <c r="E29" s="464">
        <v>11</v>
      </c>
      <c r="F29" s="385">
        <v>11</v>
      </c>
      <c r="G29" s="385">
        <v>11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97">
        <v>0</v>
      </c>
    </row>
    <row r="30" spans="1:13">
      <c r="A30" s="1739" t="s">
        <v>1175</v>
      </c>
      <c r="B30" s="1739"/>
      <c r="C30" s="458" t="s">
        <v>1016</v>
      </c>
      <c r="D30" s="464">
        <v>51</v>
      </c>
      <c r="E30" s="464">
        <v>50</v>
      </c>
      <c r="F30" s="385">
        <v>50</v>
      </c>
      <c r="G30" s="385">
        <v>49</v>
      </c>
      <c r="H30" s="385">
        <v>0</v>
      </c>
      <c r="I30" s="385">
        <v>0</v>
      </c>
      <c r="J30" s="385">
        <v>1</v>
      </c>
      <c r="K30" s="385">
        <v>1</v>
      </c>
      <c r="L30" s="385">
        <v>0</v>
      </c>
      <c r="M30" s="97">
        <v>0</v>
      </c>
    </row>
    <row r="31" spans="1:13">
      <c r="A31" s="1739" t="s">
        <v>1018</v>
      </c>
      <c r="B31" s="1739"/>
      <c r="C31" s="458" t="s">
        <v>1017</v>
      </c>
      <c r="D31" s="464">
        <v>9</v>
      </c>
      <c r="E31" s="464">
        <v>0</v>
      </c>
      <c r="F31" s="385">
        <v>9</v>
      </c>
      <c r="G31" s="385">
        <v>0</v>
      </c>
      <c r="H31" s="385">
        <v>0</v>
      </c>
      <c r="I31" s="385">
        <v>0</v>
      </c>
      <c r="J31" s="385">
        <v>0</v>
      </c>
      <c r="K31" s="385">
        <v>0</v>
      </c>
      <c r="L31" s="385">
        <v>0</v>
      </c>
      <c r="M31" s="97">
        <v>0</v>
      </c>
    </row>
    <row r="32" spans="1:13">
      <c r="A32" s="1739" t="s">
        <v>1205</v>
      </c>
      <c r="B32" s="1739"/>
      <c r="C32" s="458" t="s">
        <v>12</v>
      </c>
      <c r="D32" s="464">
        <v>6</v>
      </c>
      <c r="E32" s="464">
        <v>0</v>
      </c>
      <c r="F32" s="385">
        <v>6</v>
      </c>
      <c r="G32" s="385">
        <v>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97">
        <v>0</v>
      </c>
    </row>
    <row r="33" spans="1:13">
      <c r="A33" s="1739" t="s">
        <v>1206</v>
      </c>
      <c r="B33" s="1739"/>
      <c r="C33" s="458" t="s">
        <v>13</v>
      </c>
      <c r="D33" s="464">
        <v>0</v>
      </c>
      <c r="E33" s="464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0</v>
      </c>
      <c r="K33" s="385">
        <v>0</v>
      </c>
      <c r="L33" s="385">
        <v>0</v>
      </c>
      <c r="M33" s="97">
        <v>0</v>
      </c>
    </row>
    <row r="34" spans="1:13">
      <c r="A34" s="1739" t="s">
        <v>1177</v>
      </c>
      <c r="B34" s="1739"/>
      <c r="C34" s="458" t="s">
        <v>14</v>
      </c>
      <c r="D34" s="464">
        <v>84</v>
      </c>
      <c r="E34" s="464">
        <v>78</v>
      </c>
      <c r="F34" s="385">
        <v>82</v>
      </c>
      <c r="G34" s="385">
        <v>76</v>
      </c>
      <c r="H34" s="385">
        <v>0</v>
      </c>
      <c r="I34" s="385">
        <v>0</v>
      </c>
      <c r="J34" s="385">
        <v>2</v>
      </c>
      <c r="K34" s="385">
        <v>2</v>
      </c>
      <c r="L34" s="385">
        <v>4</v>
      </c>
      <c r="M34" s="97">
        <v>4</v>
      </c>
    </row>
    <row r="35" spans="1:13">
      <c r="A35" s="1739" t="s">
        <v>1207</v>
      </c>
      <c r="B35" s="1739"/>
      <c r="C35" s="458" t="s">
        <v>15</v>
      </c>
      <c r="D35" s="464">
        <v>100</v>
      </c>
      <c r="E35" s="464">
        <v>47</v>
      </c>
      <c r="F35" s="385">
        <v>99</v>
      </c>
      <c r="G35" s="385">
        <v>47</v>
      </c>
      <c r="H35" s="385">
        <v>0</v>
      </c>
      <c r="I35" s="385">
        <v>0</v>
      </c>
      <c r="J35" s="385">
        <v>1</v>
      </c>
      <c r="K35" s="385">
        <v>0</v>
      </c>
      <c r="L35" s="385">
        <v>1</v>
      </c>
      <c r="M35" s="97">
        <v>0</v>
      </c>
    </row>
    <row r="36" spans="1:13">
      <c r="A36" s="1739" t="s">
        <v>1178</v>
      </c>
      <c r="B36" s="1739"/>
      <c r="C36" s="458" t="s">
        <v>16</v>
      </c>
      <c r="D36" s="464">
        <v>94</v>
      </c>
      <c r="E36" s="464">
        <v>3</v>
      </c>
      <c r="F36" s="385">
        <v>94</v>
      </c>
      <c r="G36" s="385">
        <v>3</v>
      </c>
      <c r="H36" s="385">
        <v>0</v>
      </c>
      <c r="I36" s="385">
        <v>0</v>
      </c>
      <c r="J36" s="385">
        <v>0</v>
      </c>
      <c r="K36" s="385">
        <v>0</v>
      </c>
      <c r="L36" s="385">
        <v>35</v>
      </c>
      <c r="M36" s="97">
        <v>2</v>
      </c>
    </row>
    <row r="37" spans="1:13">
      <c r="A37" s="1739" t="s">
        <v>273</v>
      </c>
      <c r="B37" s="1739"/>
      <c r="C37" s="458" t="s">
        <v>17</v>
      </c>
      <c r="D37" s="464">
        <v>7</v>
      </c>
      <c r="E37" s="464">
        <v>3</v>
      </c>
      <c r="F37" s="385">
        <v>6</v>
      </c>
      <c r="G37" s="385">
        <v>3</v>
      </c>
      <c r="H37" s="385">
        <v>0</v>
      </c>
      <c r="I37" s="385">
        <v>0</v>
      </c>
      <c r="J37" s="385">
        <v>1</v>
      </c>
      <c r="K37" s="385">
        <v>0</v>
      </c>
      <c r="L37" s="385">
        <v>0</v>
      </c>
      <c r="M37" s="97">
        <v>0</v>
      </c>
    </row>
    <row r="38" spans="1:13" s="359" customFormat="1">
      <c r="A38" s="1740"/>
      <c r="B38" s="1740"/>
      <c r="C38" s="528"/>
      <c r="D38" s="485"/>
      <c r="L38" s="99"/>
    </row>
    <row r="40" spans="1:13">
      <c r="I40" s="292"/>
      <c r="J40" s="292"/>
    </row>
    <row r="41" spans="1:13">
      <c r="I41" s="292"/>
      <c r="J41" s="292"/>
    </row>
    <row r="42" spans="1:13">
      <c r="I42" s="292"/>
      <c r="J42" s="292"/>
    </row>
    <row r="43" spans="1:13">
      <c r="C43" s="292"/>
      <c r="G43" s="292"/>
      <c r="H43" s="292"/>
      <c r="I43" s="292"/>
      <c r="J43" s="292"/>
    </row>
    <row r="44" spans="1:13">
      <c r="C44" s="1514"/>
      <c r="D44" s="1514"/>
      <c r="E44" s="1514"/>
      <c r="F44" s="1514"/>
      <c r="G44" s="1514"/>
      <c r="I44" s="292"/>
      <c r="J44" s="292"/>
    </row>
    <row r="45" spans="1:13">
      <c r="B45" s="292"/>
      <c r="C45" s="292"/>
      <c r="D45" s="292"/>
      <c r="E45" s="292"/>
      <c r="F45" s="292"/>
      <c r="G45" s="292"/>
      <c r="H45" s="292"/>
    </row>
  </sheetData>
  <mergeCells count="38">
    <mergeCell ref="L6:M9"/>
    <mergeCell ref="F7:G9"/>
    <mergeCell ref="H7:I7"/>
    <mergeCell ref="J7:K9"/>
    <mergeCell ref="H8:I9"/>
    <mergeCell ref="A2:B2"/>
    <mergeCell ref="A6:B10"/>
    <mergeCell ref="C6:C10"/>
    <mergeCell ref="D6:E9"/>
    <mergeCell ref="F6:K6"/>
    <mergeCell ref="C3:J3"/>
    <mergeCell ref="A24:B24"/>
    <mergeCell ref="A11:B11"/>
    <mergeCell ref="A12:B12"/>
    <mergeCell ref="A13:B13"/>
    <mergeCell ref="A14:B14"/>
    <mergeCell ref="A15:B15"/>
    <mergeCell ref="A16:B16"/>
    <mergeCell ref="A17:B17"/>
    <mergeCell ref="A18:A20"/>
    <mergeCell ref="A21:B21"/>
    <mergeCell ref="A22:B22"/>
    <mergeCell ref="A23:B23"/>
    <mergeCell ref="A31:B31"/>
    <mergeCell ref="A38:B38"/>
    <mergeCell ref="C44:G44"/>
    <mergeCell ref="A32:B32"/>
    <mergeCell ref="A33:B33"/>
    <mergeCell ref="A34:B34"/>
    <mergeCell ref="A35:B35"/>
    <mergeCell ref="A36:B36"/>
    <mergeCell ref="A37:B37"/>
    <mergeCell ref="A30:B30"/>
    <mergeCell ref="A25:B25"/>
    <mergeCell ref="A26:B26"/>
    <mergeCell ref="A27:B27"/>
    <mergeCell ref="A28:B28"/>
    <mergeCell ref="A29:B2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N64"/>
  <sheetViews>
    <sheetView workbookViewId="0">
      <selection activeCell="P27" sqref="P27"/>
    </sheetView>
  </sheetViews>
  <sheetFormatPr defaultRowHeight="12.75"/>
  <cols>
    <col min="1" max="1" width="8.140625" style="99" customWidth="1"/>
    <col min="2" max="2" width="9.140625" style="99"/>
    <col min="3" max="3" width="14.7109375" style="99" customWidth="1"/>
    <col min="4" max="4" width="10.42578125" style="99" customWidth="1"/>
    <col min="5" max="5" width="9.5703125" style="99" customWidth="1"/>
    <col min="6" max="6" width="8.42578125" style="99" customWidth="1"/>
    <col min="7" max="7" width="9.7109375" style="99" customWidth="1"/>
    <col min="8" max="16384" width="9.140625" style="99"/>
  </cols>
  <sheetData>
    <row r="1" spans="1:40">
      <c r="A1" s="501"/>
      <c r="B1" s="501"/>
      <c r="C1" s="501"/>
      <c r="D1" s="485"/>
      <c r="E1" s="485"/>
      <c r="F1" s="502"/>
      <c r="G1" s="503"/>
      <c r="H1" s="359"/>
      <c r="I1" s="359"/>
      <c r="J1" s="359"/>
    </row>
    <row r="2" spans="1:40" ht="14.25">
      <c r="A2" s="501"/>
      <c r="B2" s="633"/>
      <c r="C2" s="504"/>
      <c r="D2" s="536" t="s">
        <v>1139</v>
      </c>
      <c r="E2" s="485"/>
      <c r="F2" s="502"/>
      <c r="G2" s="503"/>
      <c r="H2" s="359"/>
      <c r="I2" s="359"/>
      <c r="J2" s="359"/>
    </row>
    <row r="3" spans="1:40" ht="12.75" customHeight="1">
      <c r="A3" s="1775" t="s">
        <v>1140</v>
      </c>
      <c r="B3" s="1775"/>
      <c r="C3" s="1775"/>
      <c r="D3" s="1775"/>
      <c r="E3" s="1775"/>
      <c r="F3" s="1775"/>
      <c r="G3" s="1775"/>
      <c r="H3" s="359"/>
      <c r="I3" s="359"/>
      <c r="J3" s="359"/>
    </row>
    <row r="4" spans="1:40">
      <c r="A4" s="501"/>
      <c r="B4" s="501"/>
      <c r="C4" s="501"/>
      <c r="D4" s="506" t="s">
        <v>1141</v>
      </c>
      <c r="E4" s="485"/>
      <c r="F4" s="502"/>
      <c r="G4" s="503"/>
    </row>
    <row r="5" spans="1:40">
      <c r="A5" s="501"/>
      <c r="B5" s="501"/>
      <c r="C5" s="501"/>
      <c r="D5" s="485"/>
      <c r="E5" s="485"/>
      <c r="F5" s="485"/>
      <c r="G5" s="507"/>
    </row>
    <row r="6" spans="1:40" ht="25.5">
      <c r="A6" s="1766" t="s">
        <v>959</v>
      </c>
      <c r="B6" s="1767"/>
      <c r="C6" s="1768"/>
      <c r="D6" s="236" t="s">
        <v>415</v>
      </c>
      <c r="E6" s="456" t="s">
        <v>960</v>
      </c>
      <c r="F6" s="1415" t="s">
        <v>276</v>
      </c>
      <c r="G6" s="1415"/>
      <c r="I6" s="1773"/>
      <c r="J6" s="1772"/>
      <c r="K6" s="1772"/>
      <c r="L6" s="1772"/>
      <c r="M6" s="1772"/>
      <c r="N6" s="1772"/>
      <c r="O6" s="1772"/>
      <c r="P6" s="1772"/>
      <c r="Q6" s="1774"/>
      <c r="R6" s="1774"/>
      <c r="S6" s="1774"/>
      <c r="T6" s="1774"/>
      <c r="U6" s="1774"/>
      <c r="V6" s="1774"/>
      <c r="W6" s="1774"/>
      <c r="X6" s="1774"/>
      <c r="Y6" s="1774"/>
      <c r="Z6" s="1774"/>
      <c r="AA6" s="1774"/>
      <c r="AB6" s="1774"/>
      <c r="AC6" s="511"/>
      <c r="AD6" s="511"/>
      <c r="AE6" s="511"/>
      <c r="AF6" s="511"/>
      <c r="AG6" s="511"/>
      <c r="AH6" s="511"/>
      <c r="AI6" s="511"/>
      <c r="AJ6" s="511"/>
      <c r="AK6" s="511"/>
      <c r="AL6" s="511"/>
      <c r="AM6" s="511"/>
      <c r="AN6" s="511"/>
    </row>
    <row r="7" spans="1:40">
      <c r="A7" s="1599" t="s">
        <v>1142</v>
      </c>
      <c r="B7" s="1600"/>
      <c r="C7" s="1601"/>
      <c r="D7" s="97" t="s">
        <v>274</v>
      </c>
      <c r="E7" s="459" t="s">
        <v>979</v>
      </c>
      <c r="F7" s="1776">
        <v>24</v>
      </c>
      <c r="G7" s="1776"/>
      <c r="I7" s="1773"/>
      <c r="J7" s="1772"/>
      <c r="K7" s="1772"/>
      <c r="L7" s="1772"/>
      <c r="M7" s="1772"/>
      <c r="N7" s="1772"/>
      <c r="O7" s="1772"/>
      <c r="P7" s="1772"/>
      <c r="Q7" s="1772"/>
      <c r="R7" s="1772"/>
      <c r="S7" s="1772"/>
      <c r="T7" s="1772"/>
      <c r="U7" s="1772"/>
      <c r="V7" s="1772"/>
      <c r="W7" s="1772"/>
      <c r="X7" s="1772"/>
      <c r="Y7" s="1772"/>
      <c r="Z7" s="1772"/>
      <c r="AA7" s="1772"/>
      <c r="AB7" s="1772"/>
      <c r="AC7" s="1772"/>
      <c r="AD7" s="1772"/>
      <c r="AE7" s="1772"/>
      <c r="AF7" s="1772"/>
      <c r="AG7" s="1772"/>
      <c r="AH7" s="1772"/>
      <c r="AI7" s="1772"/>
      <c r="AJ7" s="1772"/>
      <c r="AK7" s="1772"/>
      <c r="AL7" s="1772"/>
      <c r="AM7" s="1772"/>
      <c r="AN7" s="1772"/>
    </row>
    <row r="8" spans="1:40">
      <c r="A8" s="1415" t="s">
        <v>1143</v>
      </c>
      <c r="B8" s="1750" t="s">
        <v>1144</v>
      </c>
      <c r="C8" s="1752"/>
      <c r="D8" s="97" t="s">
        <v>274</v>
      </c>
      <c r="E8" s="508" t="s">
        <v>965</v>
      </c>
      <c r="F8" s="399">
        <v>17</v>
      </c>
      <c r="G8" s="243"/>
      <c r="I8" s="1773"/>
      <c r="J8" s="1772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  <c r="AA8" s="511"/>
      <c r="AB8" s="511"/>
      <c r="AC8" s="511"/>
      <c r="AD8" s="511"/>
      <c r="AE8" s="511"/>
      <c r="AF8" s="511"/>
      <c r="AG8" s="511"/>
      <c r="AH8" s="511"/>
      <c r="AI8" s="511"/>
      <c r="AJ8" s="511"/>
      <c r="AK8" s="511"/>
      <c r="AL8" s="511"/>
      <c r="AM8" s="511"/>
      <c r="AN8" s="511"/>
    </row>
    <row r="9" spans="1:40" ht="29.25" customHeight="1">
      <c r="A9" s="1415"/>
      <c r="B9" s="1769" t="s">
        <v>912</v>
      </c>
      <c r="C9" s="467" t="s">
        <v>1145</v>
      </c>
      <c r="D9" s="97" t="s">
        <v>274</v>
      </c>
      <c r="E9" s="457" t="s">
        <v>966</v>
      </c>
      <c r="F9" s="1599">
        <v>205</v>
      </c>
      <c r="G9" s="1601"/>
      <c r="I9" s="511"/>
      <c r="J9" s="511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  <c r="AF9" s="512"/>
      <c r="AG9" s="512"/>
      <c r="AH9" s="512"/>
      <c r="AI9" s="512"/>
      <c r="AJ9" s="512"/>
      <c r="AK9" s="512"/>
      <c r="AL9" s="512"/>
      <c r="AM9" s="512"/>
      <c r="AN9" s="512"/>
    </row>
    <row r="10" spans="1:40" ht="27.75" customHeight="1">
      <c r="A10" s="1415"/>
      <c r="B10" s="1770"/>
      <c r="C10" s="467" t="s">
        <v>1146</v>
      </c>
      <c r="D10" s="97" t="s">
        <v>1147</v>
      </c>
      <c r="E10" s="457" t="s">
        <v>967</v>
      </c>
      <c r="F10" s="1599" t="e">
        <v>#VALUE!</v>
      </c>
      <c r="G10" s="1601"/>
      <c r="I10" s="513"/>
      <c r="J10" s="514"/>
      <c r="K10" s="515"/>
      <c r="L10" s="515"/>
      <c r="M10" s="515"/>
      <c r="N10" s="515"/>
      <c r="O10" s="516"/>
      <c r="P10" s="516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  <c r="AD10" s="517"/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</row>
    <row r="11" spans="1:40" ht="39.75" customHeight="1">
      <c r="A11" s="1415"/>
      <c r="B11" s="1770"/>
      <c r="C11" s="467" t="s">
        <v>1148</v>
      </c>
      <c r="D11" s="97" t="s">
        <v>1147</v>
      </c>
      <c r="E11" s="457" t="s">
        <v>968</v>
      </c>
      <c r="F11" s="1599" t="e">
        <v>#VALUE!</v>
      </c>
      <c r="G11" s="1601"/>
      <c r="I11" s="518"/>
      <c r="J11" s="518"/>
      <c r="K11" s="519"/>
      <c r="L11" s="519"/>
      <c r="M11" s="519"/>
      <c r="N11" s="519"/>
      <c r="O11" s="520"/>
      <c r="P11" s="520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  <c r="AD11" s="517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</row>
    <row r="12" spans="1:40" ht="27.75" customHeight="1">
      <c r="A12" s="1415"/>
      <c r="B12" s="1770"/>
      <c r="C12" s="467" t="s">
        <v>1149</v>
      </c>
      <c r="D12" s="97" t="s">
        <v>1147</v>
      </c>
      <c r="E12" s="457" t="s">
        <v>969</v>
      </c>
      <c r="F12" s="1599">
        <v>56.64</v>
      </c>
      <c r="G12" s="1601"/>
      <c r="I12" s="521"/>
      <c r="J12" s="521"/>
      <c r="K12" s="521"/>
      <c r="L12" s="521"/>
      <c r="M12" s="521"/>
      <c r="N12" s="521"/>
      <c r="O12" s="521"/>
      <c r="P12" s="521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</row>
    <row r="13" spans="1:40" ht="25.5">
      <c r="A13" s="1415"/>
      <c r="B13" s="1770"/>
      <c r="C13" s="467" t="s">
        <v>1150</v>
      </c>
      <c r="D13" s="97" t="s">
        <v>274</v>
      </c>
      <c r="E13" s="457" t="s">
        <v>970</v>
      </c>
      <c r="F13" s="1599">
        <v>21</v>
      </c>
      <c r="G13" s="1601"/>
    </row>
    <row r="14" spans="1:40">
      <c r="A14" s="1415"/>
      <c r="B14" s="1770"/>
      <c r="C14" s="467" t="s">
        <v>1151</v>
      </c>
      <c r="D14" s="97" t="s">
        <v>274</v>
      </c>
      <c r="E14" s="457" t="s">
        <v>971</v>
      </c>
      <c r="F14" s="1599">
        <v>87</v>
      </c>
      <c r="G14" s="1601"/>
    </row>
    <row r="15" spans="1:40" ht="18" customHeight="1">
      <c r="A15" s="1415"/>
      <c r="B15" s="1770"/>
      <c r="C15" s="467" t="s">
        <v>1152</v>
      </c>
      <c r="D15" s="97" t="s">
        <v>274</v>
      </c>
      <c r="E15" s="457" t="s">
        <v>971</v>
      </c>
      <c r="F15" s="1599">
        <v>114</v>
      </c>
      <c r="G15" s="1601"/>
    </row>
    <row r="16" spans="1:40" ht="28.5" customHeight="1">
      <c r="A16" s="1415"/>
      <c r="B16" s="1770"/>
      <c r="C16" s="467" t="s">
        <v>1153</v>
      </c>
      <c r="D16" s="97" t="s">
        <v>274</v>
      </c>
      <c r="E16" s="457" t="s">
        <v>972</v>
      </c>
      <c r="F16" s="1599">
        <v>16</v>
      </c>
      <c r="G16" s="1601"/>
    </row>
    <row r="17" spans="1:7" ht="38.25" customHeight="1">
      <c r="A17" s="1415"/>
      <c r="B17" s="1770"/>
      <c r="C17" s="509" t="s">
        <v>1154</v>
      </c>
      <c r="D17" s="97" t="s">
        <v>274</v>
      </c>
      <c r="E17" s="457" t="s">
        <v>973</v>
      </c>
      <c r="F17" s="1599">
        <v>1</v>
      </c>
      <c r="G17" s="1601"/>
    </row>
    <row r="18" spans="1:7" ht="44.25" customHeight="1">
      <c r="A18" s="1415"/>
      <c r="B18" s="1770"/>
      <c r="C18" s="467" t="s">
        <v>1155</v>
      </c>
      <c r="D18" s="97" t="s">
        <v>274</v>
      </c>
      <c r="E18" s="457" t="s">
        <v>974</v>
      </c>
      <c r="F18" s="1599">
        <v>19</v>
      </c>
      <c r="G18" s="1601"/>
    </row>
    <row r="19" spans="1:7">
      <c r="A19" s="1415"/>
      <c r="B19" s="1771"/>
      <c r="C19" s="467" t="s">
        <v>1156</v>
      </c>
      <c r="D19" s="97" t="s">
        <v>274</v>
      </c>
      <c r="E19" s="457" t="s">
        <v>11</v>
      </c>
      <c r="F19" s="1599">
        <v>48</v>
      </c>
      <c r="G19" s="1601"/>
    </row>
    <row r="20" spans="1:7">
      <c r="A20" s="1415"/>
      <c r="B20" s="1750" t="s">
        <v>1157</v>
      </c>
      <c r="C20" s="1752"/>
      <c r="D20" s="97" t="s">
        <v>274</v>
      </c>
      <c r="E20" s="457" t="s">
        <v>975</v>
      </c>
      <c r="F20" s="1599">
        <v>7</v>
      </c>
      <c r="G20" s="1601"/>
    </row>
    <row r="21" spans="1:7">
      <c r="A21" s="1763" t="s">
        <v>1158</v>
      </c>
      <c r="B21" s="1764"/>
      <c r="C21" s="1765"/>
      <c r="D21" s="97" t="s">
        <v>274</v>
      </c>
      <c r="E21" s="457" t="s">
        <v>976</v>
      </c>
      <c r="F21" s="1599">
        <v>1207</v>
      </c>
      <c r="G21" s="1601"/>
    </row>
    <row r="22" spans="1:7">
      <c r="A22" s="1763" t="s">
        <v>1159</v>
      </c>
      <c r="B22" s="1764"/>
      <c r="C22" s="1765"/>
      <c r="D22" s="97" t="s">
        <v>1160</v>
      </c>
      <c r="E22" s="457" t="s">
        <v>977</v>
      </c>
      <c r="F22" s="1599"/>
      <c r="G22" s="1601"/>
    </row>
    <row r="23" spans="1:7">
      <c r="A23" s="1763" t="s">
        <v>1161</v>
      </c>
      <c r="B23" s="1764"/>
      <c r="C23" s="1765"/>
      <c r="D23" s="97" t="s">
        <v>1160</v>
      </c>
      <c r="E23" s="457" t="s">
        <v>1012</v>
      </c>
      <c r="F23" s="1599"/>
      <c r="G23" s="1601"/>
    </row>
    <row r="24" spans="1:7">
      <c r="A24" s="1691" t="s">
        <v>959</v>
      </c>
      <c r="B24" s="1691"/>
      <c r="C24" s="1691"/>
      <c r="D24" s="1691"/>
      <c r="E24" s="309" t="s">
        <v>960</v>
      </c>
      <c r="F24" s="309" t="s">
        <v>276</v>
      </c>
      <c r="G24" s="98" t="s">
        <v>1162</v>
      </c>
    </row>
    <row r="25" spans="1:7">
      <c r="A25" s="1749" t="s">
        <v>1163</v>
      </c>
      <c r="B25" s="1749"/>
      <c r="C25" s="1749"/>
      <c r="D25" s="1749"/>
      <c r="E25" s="459">
        <v>16</v>
      </c>
      <c r="F25" s="399">
        <v>1234</v>
      </c>
      <c r="G25" s="77">
        <v>683</v>
      </c>
    </row>
    <row r="26" spans="1:7">
      <c r="A26" s="1766" t="s">
        <v>1164</v>
      </c>
      <c r="B26" s="1767"/>
      <c r="C26" s="1767"/>
      <c r="D26" s="1768"/>
      <c r="E26" s="459">
        <v>17</v>
      </c>
      <c r="F26" s="399">
        <v>828</v>
      </c>
      <c r="G26" s="77">
        <v>408</v>
      </c>
    </row>
    <row r="27" spans="1:7">
      <c r="A27" s="1749" t="s">
        <v>1165</v>
      </c>
      <c r="B27" s="1749"/>
      <c r="C27" s="1749"/>
      <c r="D27" s="1749"/>
      <c r="E27" s="459">
        <v>18</v>
      </c>
      <c r="F27" s="460">
        <v>1142</v>
      </c>
      <c r="G27" s="460">
        <v>592</v>
      </c>
    </row>
    <row r="28" spans="1:7">
      <c r="A28" s="1760" t="s">
        <v>912</v>
      </c>
      <c r="B28" s="1415" t="s">
        <v>1008</v>
      </c>
      <c r="C28" s="1415"/>
      <c r="D28" s="1415"/>
      <c r="E28" s="459">
        <v>19</v>
      </c>
      <c r="F28" s="399">
        <v>30</v>
      </c>
      <c r="G28" s="77">
        <v>18</v>
      </c>
    </row>
    <row r="29" spans="1:7">
      <c r="A29" s="1761"/>
      <c r="B29" s="1415" t="s">
        <v>1009</v>
      </c>
      <c r="C29" s="1415"/>
      <c r="D29" s="1415"/>
      <c r="E29" s="459">
        <v>20</v>
      </c>
      <c r="F29" s="399">
        <v>60</v>
      </c>
      <c r="G29" s="77">
        <v>36</v>
      </c>
    </row>
    <row r="30" spans="1:7">
      <c r="A30" s="1761"/>
      <c r="B30" s="1415" t="s">
        <v>1010</v>
      </c>
      <c r="C30" s="1415"/>
      <c r="D30" s="1415"/>
      <c r="E30" s="459">
        <v>21</v>
      </c>
      <c r="F30" s="399">
        <v>71</v>
      </c>
      <c r="G30" s="77">
        <v>30</v>
      </c>
    </row>
    <row r="31" spans="1:7">
      <c r="A31" s="1761"/>
      <c r="B31" s="1415" t="s">
        <v>1112</v>
      </c>
      <c r="C31" s="1415"/>
      <c r="D31" s="1415"/>
      <c r="E31" s="459">
        <v>22</v>
      </c>
      <c r="F31" s="399">
        <v>100</v>
      </c>
      <c r="G31" s="77">
        <v>46</v>
      </c>
    </row>
    <row r="32" spans="1:7">
      <c r="A32" s="1761"/>
      <c r="B32" s="1415" t="s">
        <v>1113</v>
      </c>
      <c r="C32" s="1415"/>
      <c r="D32" s="1415"/>
      <c r="E32" s="459">
        <v>23</v>
      </c>
      <c r="F32" s="399">
        <v>105</v>
      </c>
      <c r="G32" s="77">
        <v>49</v>
      </c>
    </row>
    <row r="33" spans="1:7">
      <c r="A33" s="1761"/>
      <c r="B33" s="1415" t="s">
        <v>1166</v>
      </c>
      <c r="C33" s="1415"/>
      <c r="D33" s="1415"/>
      <c r="E33" s="459">
        <v>24</v>
      </c>
      <c r="F33" s="399">
        <v>19</v>
      </c>
      <c r="G33" s="77">
        <v>12</v>
      </c>
    </row>
    <row r="34" spans="1:7">
      <c r="A34" s="1761"/>
      <c r="B34" s="1415" t="s">
        <v>1167</v>
      </c>
      <c r="C34" s="1415"/>
      <c r="D34" s="1415"/>
      <c r="E34" s="459">
        <v>25</v>
      </c>
      <c r="F34" s="399">
        <v>137</v>
      </c>
      <c r="G34" s="77">
        <v>65</v>
      </c>
    </row>
    <row r="35" spans="1:7">
      <c r="A35" s="1761"/>
      <c r="B35" s="1415" t="s">
        <v>1114</v>
      </c>
      <c r="C35" s="1415"/>
      <c r="D35" s="1415"/>
      <c r="E35" s="459">
        <v>26</v>
      </c>
      <c r="F35" s="399">
        <v>120</v>
      </c>
      <c r="G35" s="77">
        <v>61</v>
      </c>
    </row>
    <row r="36" spans="1:7">
      <c r="A36" s="1761"/>
      <c r="B36" s="1415" t="s">
        <v>1115</v>
      </c>
      <c r="C36" s="1415"/>
      <c r="D36" s="1415"/>
      <c r="E36" s="459">
        <v>27</v>
      </c>
      <c r="F36" s="399">
        <v>236</v>
      </c>
      <c r="G36" s="77">
        <v>119</v>
      </c>
    </row>
    <row r="37" spans="1:7">
      <c r="A37" s="1761"/>
      <c r="B37" s="1415" t="s">
        <v>1116</v>
      </c>
      <c r="C37" s="1415"/>
      <c r="D37" s="1415"/>
      <c r="E37" s="459">
        <v>28</v>
      </c>
      <c r="F37" s="399">
        <v>131</v>
      </c>
      <c r="G37" s="77">
        <v>83</v>
      </c>
    </row>
    <row r="38" spans="1:7">
      <c r="A38" s="1761"/>
      <c r="B38" s="1415" t="s">
        <v>1117</v>
      </c>
      <c r="C38" s="1415"/>
      <c r="D38" s="1415"/>
      <c r="E38" s="459">
        <v>29</v>
      </c>
      <c r="F38" s="399">
        <v>133</v>
      </c>
      <c r="G38" s="77">
        <v>73</v>
      </c>
    </row>
    <row r="39" spans="1:7">
      <c r="A39" s="1762"/>
      <c r="B39" s="1415" t="s">
        <v>1118</v>
      </c>
      <c r="C39" s="1415"/>
      <c r="D39" s="1415"/>
      <c r="E39" s="459">
        <v>30</v>
      </c>
      <c r="F39" s="399">
        <v>0</v>
      </c>
      <c r="G39" s="77">
        <v>0</v>
      </c>
    </row>
    <row r="40" spans="1:7">
      <c r="A40" s="1750" t="s">
        <v>1168</v>
      </c>
      <c r="B40" s="1751"/>
      <c r="C40" s="1751"/>
      <c r="D40" s="1752"/>
      <c r="E40" s="459">
        <v>31</v>
      </c>
      <c r="F40" s="399">
        <v>806</v>
      </c>
      <c r="G40" s="77">
        <v>398</v>
      </c>
    </row>
    <row r="41" spans="1:7">
      <c r="A41" s="1755" t="s">
        <v>1131</v>
      </c>
      <c r="B41" s="1756"/>
      <c r="C41" s="1756"/>
      <c r="D41" s="1757"/>
      <c r="E41" s="459">
        <v>32</v>
      </c>
      <c r="F41" s="460">
        <v>58</v>
      </c>
      <c r="G41" s="460">
        <v>27</v>
      </c>
    </row>
    <row r="42" spans="1:7">
      <c r="A42" s="1758" t="s">
        <v>980</v>
      </c>
      <c r="B42" s="1759" t="s">
        <v>1133</v>
      </c>
      <c r="C42" s="1759"/>
      <c r="D42" s="1759"/>
      <c r="E42" s="459">
        <v>33</v>
      </c>
      <c r="F42" s="399">
        <v>18</v>
      </c>
      <c r="G42" s="77">
        <v>13</v>
      </c>
    </row>
    <row r="43" spans="1:7">
      <c r="A43" s="1758"/>
      <c r="B43" s="1759" t="s">
        <v>1134</v>
      </c>
      <c r="C43" s="1759"/>
      <c r="D43" s="1759"/>
      <c r="E43" s="459">
        <v>34</v>
      </c>
      <c r="F43" s="399">
        <v>12</v>
      </c>
      <c r="G43" s="77">
        <v>5</v>
      </c>
    </row>
    <row r="44" spans="1:7">
      <c r="A44" s="1758"/>
      <c r="B44" s="1759" t="s">
        <v>1135</v>
      </c>
      <c r="C44" s="1759"/>
      <c r="D44" s="1759"/>
      <c r="E44" s="459">
        <v>35</v>
      </c>
      <c r="F44" s="399">
        <v>13</v>
      </c>
      <c r="G44" s="77">
        <v>5</v>
      </c>
    </row>
    <row r="45" spans="1:7">
      <c r="A45" s="1758"/>
      <c r="B45" s="1759" t="s">
        <v>1136</v>
      </c>
      <c r="C45" s="1759"/>
      <c r="D45" s="1759"/>
      <c r="E45" s="459">
        <v>36</v>
      </c>
      <c r="F45" s="399">
        <v>3</v>
      </c>
      <c r="G45" s="77">
        <v>2</v>
      </c>
    </row>
    <row r="46" spans="1:7">
      <c r="A46" s="1758"/>
      <c r="B46" s="1759" t="s">
        <v>1137</v>
      </c>
      <c r="C46" s="1759"/>
      <c r="D46" s="1759"/>
      <c r="E46" s="459">
        <v>37</v>
      </c>
      <c r="F46" s="399">
        <v>11</v>
      </c>
      <c r="G46" s="77">
        <v>2</v>
      </c>
    </row>
    <row r="47" spans="1:7">
      <c r="A47" s="1758"/>
      <c r="B47" s="1759" t="s">
        <v>1138</v>
      </c>
      <c r="C47" s="1759"/>
      <c r="D47" s="1759"/>
      <c r="E47" s="459">
        <v>38</v>
      </c>
      <c r="F47" s="399">
        <v>1</v>
      </c>
      <c r="G47" s="77">
        <v>0</v>
      </c>
    </row>
    <row r="48" spans="1:7">
      <c r="A48" s="1750" t="s">
        <v>1169</v>
      </c>
      <c r="B48" s="1751"/>
      <c r="C48" s="1751"/>
      <c r="D48" s="1752"/>
      <c r="E48" s="459">
        <v>39</v>
      </c>
      <c r="F48" s="460">
        <v>128</v>
      </c>
      <c r="G48" s="460">
        <v>109</v>
      </c>
    </row>
    <row r="49" spans="1:13">
      <c r="A49" s="1699" t="s">
        <v>1143</v>
      </c>
      <c r="B49" s="1750" t="s">
        <v>1170</v>
      </c>
      <c r="C49" s="1751"/>
      <c r="D49" s="1752"/>
      <c r="E49" s="459">
        <v>40</v>
      </c>
      <c r="F49" s="510">
        <v>16</v>
      </c>
      <c r="G49" s="510">
        <v>14</v>
      </c>
    </row>
    <row r="50" spans="1:13">
      <c r="A50" s="1753"/>
      <c r="B50" s="1699" t="s">
        <v>912</v>
      </c>
      <c r="C50" s="1749" t="s">
        <v>1171</v>
      </c>
      <c r="D50" s="1749"/>
      <c r="E50" s="459">
        <v>41</v>
      </c>
      <c r="F50" s="399">
        <v>15</v>
      </c>
      <c r="G50" s="77">
        <v>13</v>
      </c>
    </row>
    <row r="51" spans="1:13">
      <c r="A51" s="1753"/>
      <c r="B51" s="1754"/>
      <c r="C51" s="1749" t="s">
        <v>1172</v>
      </c>
      <c r="D51" s="1749"/>
      <c r="E51" s="459">
        <v>42</v>
      </c>
      <c r="F51" s="399">
        <v>1</v>
      </c>
      <c r="G51" s="77">
        <v>1</v>
      </c>
    </row>
    <row r="52" spans="1:13">
      <c r="A52" s="1753"/>
      <c r="B52" s="1749" t="s">
        <v>1173</v>
      </c>
      <c r="C52" s="1749"/>
      <c r="D52" s="1749"/>
      <c r="E52" s="459">
        <v>43</v>
      </c>
      <c r="F52" s="399">
        <v>2</v>
      </c>
      <c r="G52" s="77">
        <v>2</v>
      </c>
    </row>
    <row r="53" spans="1:13">
      <c r="A53" s="1753"/>
      <c r="B53" s="1749" t="s">
        <v>1174</v>
      </c>
      <c r="C53" s="1749"/>
      <c r="D53" s="1749"/>
      <c r="E53" s="459">
        <v>44</v>
      </c>
      <c r="F53" s="399">
        <v>2</v>
      </c>
      <c r="G53" s="77">
        <v>2</v>
      </c>
    </row>
    <row r="54" spans="1:13">
      <c r="A54" s="1753"/>
      <c r="B54" s="1749" t="s">
        <v>1175</v>
      </c>
      <c r="C54" s="1749"/>
      <c r="D54" s="1749"/>
      <c r="E54" s="459">
        <v>45</v>
      </c>
      <c r="F54" s="399">
        <v>34</v>
      </c>
      <c r="G54" s="77">
        <v>33</v>
      </c>
    </row>
    <row r="55" spans="1:13">
      <c r="A55" s="1753"/>
      <c r="B55" s="1749" t="s">
        <v>1176</v>
      </c>
      <c r="C55" s="1749"/>
      <c r="D55" s="1749"/>
      <c r="E55" s="459">
        <v>46</v>
      </c>
      <c r="F55" s="399">
        <v>46</v>
      </c>
      <c r="G55" s="77">
        <v>41</v>
      </c>
    </row>
    <row r="56" spans="1:13">
      <c r="A56" s="1753"/>
      <c r="B56" s="1749" t="s">
        <v>1177</v>
      </c>
      <c r="C56" s="1749"/>
      <c r="D56" s="1749"/>
      <c r="E56" s="459">
        <v>47</v>
      </c>
      <c r="F56" s="399">
        <v>7</v>
      </c>
      <c r="G56" s="77">
        <v>6</v>
      </c>
    </row>
    <row r="57" spans="1:13">
      <c r="A57" s="1753"/>
      <c r="B57" s="1749" t="s">
        <v>1178</v>
      </c>
      <c r="C57" s="1749"/>
      <c r="D57" s="1749"/>
      <c r="E57" s="459">
        <v>48</v>
      </c>
      <c r="F57" s="399">
        <v>21</v>
      </c>
      <c r="G57" s="77">
        <v>11</v>
      </c>
    </row>
    <row r="58" spans="1:13">
      <c r="A58" s="1754"/>
      <c r="B58" s="1749" t="s">
        <v>33</v>
      </c>
      <c r="C58" s="1749"/>
      <c r="D58" s="1749"/>
      <c r="E58" s="459">
        <v>49</v>
      </c>
      <c r="F58" s="399">
        <v>0</v>
      </c>
      <c r="G58" s="77">
        <v>0</v>
      </c>
    </row>
    <row r="59" spans="1:13">
      <c r="A59" s="1750" t="s">
        <v>1179</v>
      </c>
      <c r="B59" s="1751"/>
      <c r="C59" s="1751"/>
      <c r="D59" s="1752"/>
      <c r="E59" s="459">
        <v>50</v>
      </c>
      <c r="F59" s="399">
        <v>0</v>
      </c>
      <c r="G59" s="77">
        <v>0</v>
      </c>
    </row>
    <row r="61" spans="1:13">
      <c r="J61" s="292"/>
      <c r="K61" s="390"/>
      <c r="L61" s="390"/>
      <c r="M61" s="390"/>
    </row>
    <row r="62" spans="1:13">
      <c r="J62" s="292"/>
      <c r="K62" s="390"/>
      <c r="L62" s="390"/>
      <c r="M62" s="390"/>
    </row>
    <row r="63" spans="1:13">
      <c r="J63" s="292"/>
      <c r="K63" s="234"/>
    </row>
    <row r="64" spans="1:13">
      <c r="B64" s="292"/>
    </row>
  </sheetData>
  <mergeCells count="85">
    <mergeCell ref="A3:G3"/>
    <mergeCell ref="A6:C6"/>
    <mergeCell ref="F6:G6"/>
    <mergeCell ref="A7:C7"/>
    <mergeCell ref="F7:G7"/>
    <mergeCell ref="Q7:R7"/>
    <mergeCell ref="S7:T7"/>
    <mergeCell ref="F11:G11"/>
    <mergeCell ref="AG7:AH7"/>
    <mergeCell ref="AI7:AJ7"/>
    <mergeCell ref="O6:P7"/>
    <mergeCell ref="F10:G10"/>
    <mergeCell ref="AK7:AL7"/>
    <mergeCell ref="AM7:AN7"/>
    <mergeCell ref="F14:G14"/>
    <mergeCell ref="U7:V7"/>
    <mergeCell ref="W7:X7"/>
    <mergeCell ref="Y7:Z7"/>
    <mergeCell ref="AA7:AB7"/>
    <mergeCell ref="M6:N7"/>
    <mergeCell ref="I6:I8"/>
    <mergeCell ref="J6:J8"/>
    <mergeCell ref="Q6:AB6"/>
    <mergeCell ref="F12:G12"/>
    <mergeCell ref="F13:G13"/>
    <mergeCell ref="AE7:AF7"/>
    <mergeCell ref="AC7:AD7"/>
    <mergeCell ref="K6:L7"/>
    <mergeCell ref="A8:A20"/>
    <mergeCell ref="B8:C8"/>
    <mergeCell ref="B9:B19"/>
    <mergeCell ref="F9:G9"/>
    <mergeCell ref="F15:G15"/>
    <mergeCell ref="F16:G16"/>
    <mergeCell ref="F17:G17"/>
    <mergeCell ref="F18:G18"/>
    <mergeCell ref="F19:G19"/>
    <mergeCell ref="B20:C20"/>
    <mergeCell ref="F20:G20"/>
    <mergeCell ref="A27:D27"/>
    <mergeCell ref="A21:C21"/>
    <mergeCell ref="F21:G21"/>
    <mergeCell ref="A22:C22"/>
    <mergeCell ref="F22:G22"/>
    <mergeCell ref="A23:C23"/>
    <mergeCell ref="F23:G23"/>
    <mergeCell ref="A24:D24"/>
    <mergeCell ref="A25:D25"/>
    <mergeCell ref="A26:D26"/>
    <mergeCell ref="B38:D38"/>
    <mergeCell ref="A28:A39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9:D39"/>
    <mergeCell ref="A40:D40"/>
    <mergeCell ref="A41:D41"/>
    <mergeCell ref="A42:A47"/>
    <mergeCell ref="B42:D42"/>
    <mergeCell ref="B43:D43"/>
    <mergeCell ref="B44:D44"/>
    <mergeCell ref="B45:D45"/>
    <mergeCell ref="B46:D46"/>
    <mergeCell ref="B47:D47"/>
    <mergeCell ref="B56:D56"/>
    <mergeCell ref="B57:D57"/>
    <mergeCell ref="B58:D58"/>
    <mergeCell ref="A59:D59"/>
    <mergeCell ref="A48:D48"/>
    <mergeCell ref="A49:A58"/>
    <mergeCell ref="B49:D49"/>
    <mergeCell ref="B50:B51"/>
    <mergeCell ref="C50:D50"/>
    <mergeCell ref="C51:D51"/>
    <mergeCell ref="B52:D52"/>
    <mergeCell ref="B53:D53"/>
    <mergeCell ref="B54:D54"/>
    <mergeCell ref="B55:D5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V128"/>
  <sheetViews>
    <sheetView workbookViewId="0">
      <selection activeCell="B2" sqref="B1:B1048576"/>
    </sheetView>
  </sheetViews>
  <sheetFormatPr defaultRowHeight="12.75"/>
  <cols>
    <col min="1" max="1" width="8.28515625" customWidth="1"/>
    <col min="2" max="3" width="5.85546875" customWidth="1"/>
    <col min="4" max="4" width="5.42578125" customWidth="1"/>
    <col min="5" max="5" width="5.5703125" customWidth="1"/>
    <col min="6" max="6" width="5.42578125" customWidth="1"/>
    <col min="7" max="7" width="5" customWidth="1"/>
    <col min="8" max="8" width="5.140625" customWidth="1"/>
    <col min="9" max="9" width="5.42578125" customWidth="1"/>
    <col min="10" max="10" width="5.140625" customWidth="1"/>
    <col min="11" max="11" width="5" customWidth="1"/>
    <col min="12" max="12" width="5.42578125" customWidth="1"/>
    <col min="13" max="13" width="5" customWidth="1"/>
    <col min="14" max="14" width="5.140625" customWidth="1"/>
    <col min="15" max="15" width="5" customWidth="1"/>
    <col min="16" max="16" width="5.85546875" customWidth="1"/>
    <col min="17" max="17" width="6.7109375" customWidth="1"/>
    <col min="18" max="18" width="5.85546875" customWidth="1"/>
    <col min="19" max="19" width="5.7109375" customWidth="1"/>
    <col min="20" max="22" width="5.42578125" customWidth="1"/>
    <col min="23" max="25" width="5.5703125" customWidth="1"/>
    <col min="26" max="26" width="5.42578125" customWidth="1"/>
    <col min="27" max="28" width="5.28515625" customWidth="1"/>
    <col min="29" max="29" width="5.42578125" customWidth="1"/>
    <col min="30" max="30" width="5" customWidth="1"/>
    <col min="31" max="31" width="4.5703125" customWidth="1"/>
    <col min="32" max="32" width="6" customWidth="1"/>
    <col min="33" max="33" width="6.85546875" customWidth="1"/>
    <col min="34" max="34" width="5.85546875" customWidth="1"/>
    <col min="35" max="35" width="5.7109375" customWidth="1"/>
    <col min="36" max="36" width="5.42578125" customWidth="1"/>
    <col min="37" max="37" width="5.5703125" customWidth="1"/>
    <col min="38" max="38" width="5.28515625" customWidth="1"/>
    <col min="39" max="39" width="5.140625" customWidth="1"/>
    <col min="40" max="41" width="5.28515625" customWidth="1"/>
    <col min="42" max="42" width="5.5703125" customWidth="1"/>
    <col min="43" max="44" width="5.140625" customWidth="1"/>
    <col min="45" max="46" width="5.5703125" customWidth="1"/>
    <col min="47" max="47" width="5.7109375" customWidth="1"/>
    <col min="48" max="48" width="6.140625" customWidth="1"/>
  </cols>
  <sheetData>
    <row r="1" spans="1:48">
      <c r="A1" s="1408" t="s">
        <v>2318</v>
      </c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8"/>
      <c r="P1" s="1408"/>
      <c r="Q1" s="1408" t="s">
        <v>2319</v>
      </c>
      <c r="R1" s="1408"/>
      <c r="S1" s="1408"/>
      <c r="T1" s="1408"/>
      <c r="U1" s="1408"/>
      <c r="V1" s="1408"/>
      <c r="W1" s="1408"/>
      <c r="X1" s="1408"/>
      <c r="Y1" s="1408"/>
      <c r="Z1" s="1408"/>
      <c r="AA1" s="1408"/>
      <c r="AB1" s="1408"/>
      <c r="AC1" s="1408"/>
      <c r="AD1" s="1408"/>
      <c r="AE1" s="1408"/>
      <c r="AF1" s="1408"/>
      <c r="AG1" s="1408" t="s">
        <v>2319</v>
      </c>
      <c r="AH1" s="1408"/>
      <c r="AI1" s="1408"/>
      <c r="AJ1" s="1408"/>
      <c r="AK1" s="1408"/>
      <c r="AL1" s="1408"/>
      <c r="AM1" s="1408"/>
      <c r="AN1" s="1408"/>
      <c r="AO1" s="1408"/>
      <c r="AP1" s="1408"/>
      <c r="AQ1" s="1408"/>
      <c r="AR1" s="1408"/>
      <c r="AS1" s="1408"/>
      <c r="AT1" s="1408"/>
      <c r="AU1" s="1408"/>
      <c r="AV1" s="1408"/>
    </row>
    <row r="2" spans="1:48">
      <c r="A2" s="84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84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84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</row>
    <row r="3" spans="1:48">
      <c r="A3" s="84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1409" t="s">
        <v>5</v>
      </c>
      <c r="P3" s="1409"/>
      <c r="Q3" s="84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1410" t="s">
        <v>2320</v>
      </c>
      <c r="AF3" s="1410"/>
      <c r="AG3" s="84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1410" t="s">
        <v>2321</v>
      </c>
      <c r="AV3" s="1410"/>
    </row>
    <row r="4" spans="1:48" ht="70.5">
      <c r="A4" s="1279"/>
      <c r="B4" s="1280" t="s">
        <v>599</v>
      </c>
      <c r="C4" s="1280" t="s">
        <v>280</v>
      </c>
      <c r="D4" s="1280" t="s">
        <v>281</v>
      </c>
      <c r="E4" s="1280" t="s">
        <v>290</v>
      </c>
      <c r="F4" s="1280" t="s">
        <v>282</v>
      </c>
      <c r="G4" s="1280" t="s">
        <v>283</v>
      </c>
      <c r="H4" s="1280" t="s">
        <v>284</v>
      </c>
      <c r="I4" s="1280" t="s">
        <v>285</v>
      </c>
      <c r="J4" s="1280" t="s">
        <v>288</v>
      </c>
      <c r="K4" s="1280" t="s">
        <v>286</v>
      </c>
      <c r="L4" s="1280" t="s">
        <v>287</v>
      </c>
      <c r="M4" s="1280" t="s">
        <v>289</v>
      </c>
      <c r="N4" s="1280" t="s">
        <v>291</v>
      </c>
      <c r="O4" s="1280" t="s">
        <v>292</v>
      </c>
      <c r="P4" s="1281" t="s">
        <v>2322</v>
      </c>
      <c r="Q4" s="1279"/>
      <c r="R4" s="1280" t="s">
        <v>599</v>
      </c>
      <c r="S4" s="1280" t="s">
        <v>280</v>
      </c>
      <c r="T4" s="1280" t="s">
        <v>281</v>
      </c>
      <c r="U4" s="1280" t="s">
        <v>290</v>
      </c>
      <c r="V4" s="1280" t="s">
        <v>282</v>
      </c>
      <c r="W4" s="1280" t="s">
        <v>283</v>
      </c>
      <c r="X4" s="1280" t="s">
        <v>284</v>
      </c>
      <c r="Y4" s="1280" t="s">
        <v>285</v>
      </c>
      <c r="Z4" s="1280" t="s">
        <v>288</v>
      </c>
      <c r="AA4" s="1280" t="s">
        <v>286</v>
      </c>
      <c r="AB4" s="1280" t="s">
        <v>287</v>
      </c>
      <c r="AC4" s="1280" t="s">
        <v>289</v>
      </c>
      <c r="AD4" s="1280" t="s">
        <v>291</v>
      </c>
      <c r="AE4" s="1280" t="s">
        <v>292</v>
      </c>
      <c r="AF4" s="1281" t="s">
        <v>2322</v>
      </c>
      <c r="AG4" s="1279"/>
      <c r="AH4" s="1280" t="s">
        <v>599</v>
      </c>
      <c r="AI4" s="1280" t="s">
        <v>280</v>
      </c>
      <c r="AJ4" s="1280" t="s">
        <v>281</v>
      </c>
      <c r="AK4" s="1280" t="s">
        <v>290</v>
      </c>
      <c r="AL4" s="1280" t="s">
        <v>282</v>
      </c>
      <c r="AM4" s="1280" t="s">
        <v>283</v>
      </c>
      <c r="AN4" s="1280" t="s">
        <v>284</v>
      </c>
      <c r="AO4" s="1280" t="s">
        <v>285</v>
      </c>
      <c r="AP4" s="1280" t="s">
        <v>288</v>
      </c>
      <c r="AQ4" s="1280" t="s">
        <v>286</v>
      </c>
      <c r="AR4" s="1280" t="s">
        <v>287</v>
      </c>
      <c r="AS4" s="1280" t="s">
        <v>289</v>
      </c>
      <c r="AT4" s="1280" t="s">
        <v>291</v>
      </c>
      <c r="AU4" s="1280" t="s">
        <v>292</v>
      </c>
      <c r="AV4" s="1281" t="s">
        <v>2322</v>
      </c>
    </row>
    <row r="5" spans="1:48">
      <c r="A5" s="1282" t="s">
        <v>45</v>
      </c>
      <c r="B5" s="1283">
        <v>41678</v>
      </c>
      <c r="C5" s="1283">
        <v>3026</v>
      </c>
      <c r="D5" s="1283">
        <v>2085</v>
      </c>
      <c r="E5" s="1283">
        <v>4469</v>
      </c>
      <c r="F5" s="1283">
        <v>1674</v>
      </c>
      <c r="G5" s="1283">
        <v>1349</v>
      </c>
      <c r="H5" s="1283">
        <v>3272</v>
      </c>
      <c r="I5" s="1283">
        <v>2577</v>
      </c>
      <c r="J5" s="1283">
        <v>2032</v>
      </c>
      <c r="K5" s="1283">
        <v>3085</v>
      </c>
      <c r="L5" s="1283">
        <v>1708</v>
      </c>
      <c r="M5" s="1283">
        <v>3520</v>
      </c>
      <c r="N5" s="1283">
        <v>2644</v>
      </c>
      <c r="O5" s="1283">
        <v>1604</v>
      </c>
      <c r="P5" s="1283">
        <v>74723</v>
      </c>
      <c r="Q5" s="1282" t="s">
        <v>45</v>
      </c>
      <c r="R5" s="1284">
        <v>20283</v>
      </c>
      <c r="S5" s="1284">
        <v>1538</v>
      </c>
      <c r="T5" s="1284">
        <v>1076</v>
      </c>
      <c r="U5" s="1284">
        <v>2286</v>
      </c>
      <c r="V5" s="1284">
        <v>863</v>
      </c>
      <c r="W5" s="1284">
        <v>717</v>
      </c>
      <c r="X5" s="1284">
        <v>1681</v>
      </c>
      <c r="Y5" s="1284">
        <v>1337</v>
      </c>
      <c r="Z5" s="1284">
        <v>1048</v>
      </c>
      <c r="AA5" s="1284">
        <v>1609</v>
      </c>
      <c r="AB5" s="1284">
        <v>875</v>
      </c>
      <c r="AC5" s="1284">
        <v>1811</v>
      </c>
      <c r="AD5" s="1284">
        <v>1338</v>
      </c>
      <c r="AE5" s="1284">
        <v>820</v>
      </c>
      <c r="AF5" s="1284">
        <v>37282</v>
      </c>
      <c r="AG5" s="1282" t="s">
        <v>45</v>
      </c>
      <c r="AH5" s="1285">
        <v>21395</v>
      </c>
      <c r="AI5" s="1285">
        <v>1488</v>
      </c>
      <c r="AJ5" s="1285">
        <v>1009</v>
      </c>
      <c r="AK5" s="1285">
        <v>2183</v>
      </c>
      <c r="AL5" s="1285">
        <v>811</v>
      </c>
      <c r="AM5" s="1285">
        <v>632</v>
      </c>
      <c r="AN5" s="1285">
        <v>1591</v>
      </c>
      <c r="AO5" s="1285">
        <v>1240</v>
      </c>
      <c r="AP5" s="1285">
        <v>984</v>
      </c>
      <c r="AQ5" s="1285">
        <v>1476</v>
      </c>
      <c r="AR5" s="1285">
        <v>833</v>
      </c>
      <c r="AS5" s="1285">
        <v>1709</v>
      </c>
      <c r="AT5" s="1285">
        <v>1306</v>
      </c>
      <c r="AU5" s="1285">
        <v>784</v>
      </c>
      <c r="AV5" s="1285">
        <v>37441</v>
      </c>
    </row>
    <row r="6" spans="1:48">
      <c r="A6" s="498">
        <v>0</v>
      </c>
      <c r="B6" s="1286">
        <v>856</v>
      </c>
      <c r="C6" s="1286">
        <v>49</v>
      </c>
      <c r="D6" s="1286">
        <v>45</v>
      </c>
      <c r="E6" s="1286">
        <v>106</v>
      </c>
      <c r="F6" s="1286">
        <v>32</v>
      </c>
      <c r="G6" s="1286">
        <v>32</v>
      </c>
      <c r="H6" s="1286">
        <v>78</v>
      </c>
      <c r="I6" s="1286">
        <v>49</v>
      </c>
      <c r="J6" s="1286">
        <v>47</v>
      </c>
      <c r="K6" s="1286">
        <v>56</v>
      </c>
      <c r="L6" s="1286">
        <v>39</v>
      </c>
      <c r="M6" s="1286">
        <v>81</v>
      </c>
      <c r="N6" s="1286">
        <v>63</v>
      </c>
      <c r="O6" s="1286">
        <v>35</v>
      </c>
      <c r="P6" s="1286">
        <v>1568</v>
      </c>
      <c r="Q6" s="498">
        <v>0</v>
      </c>
      <c r="R6" s="679">
        <v>432</v>
      </c>
      <c r="S6" s="679">
        <v>26</v>
      </c>
      <c r="T6" s="679">
        <v>16</v>
      </c>
      <c r="U6" s="679">
        <v>51</v>
      </c>
      <c r="V6" s="679">
        <v>20</v>
      </c>
      <c r="W6" s="679">
        <v>15</v>
      </c>
      <c r="X6" s="679">
        <v>44</v>
      </c>
      <c r="Y6" s="679">
        <v>28</v>
      </c>
      <c r="Z6" s="679">
        <v>25</v>
      </c>
      <c r="AA6" s="679">
        <v>37</v>
      </c>
      <c r="AB6" s="679">
        <v>20</v>
      </c>
      <c r="AC6" s="679">
        <v>41</v>
      </c>
      <c r="AD6" s="679">
        <v>30</v>
      </c>
      <c r="AE6" s="679">
        <v>17</v>
      </c>
      <c r="AF6" s="679">
        <v>802</v>
      </c>
      <c r="AG6" s="498">
        <v>0</v>
      </c>
      <c r="AH6" s="1287">
        <v>424</v>
      </c>
      <c r="AI6" s="1287">
        <v>23</v>
      </c>
      <c r="AJ6" s="1287">
        <v>29</v>
      </c>
      <c r="AK6" s="1287">
        <v>55</v>
      </c>
      <c r="AL6" s="1287">
        <v>12</v>
      </c>
      <c r="AM6" s="1287">
        <v>17</v>
      </c>
      <c r="AN6" s="1287">
        <v>34</v>
      </c>
      <c r="AO6" s="1287">
        <v>21</v>
      </c>
      <c r="AP6" s="1287">
        <v>22</v>
      </c>
      <c r="AQ6" s="1287">
        <v>19</v>
      </c>
      <c r="AR6" s="1287">
        <v>19</v>
      </c>
      <c r="AS6" s="1287">
        <v>40</v>
      </c>
      <c r="AT6" s="1287">
        <v>33</v>
      </c>
      <c r="AU6" s="1287">
        <v>18</v>
      </c>
      <c r="AV6" s="1287">
        <v>766</v>
      </c>
    </row>
    <row r="7" spans="1:48">
      <c r="A7" s="498">
        <v>1</v>
      </c>
      <c r="B7" s="1286">
        <v>1055</v>
      </c>
      <c r="C7" s="1286">
        <v>61</v>
      </c>
      <c r="D7" s="1286">
        <v>43</v>
      </c>
      <c r="E7" s="1286">
        <v>127</v>
      </c>
      <c r="F7" s="1286">
        <v>44</v>
      </c>
      <c r="G7" s="1286">
        <v>37</v>
      </c>
      <c r="H7" s="1286">
        <v>95</v>
      </c>
      <c r="I7" s="1286">
        <v>79</v>
      </c>
      <c r="J7" s="1286">
        <v>54</v>
      </c>
      <c r="K7" s="1286">
        <v>96</v>
      </c>
      <c r="L7" s="1286">
        <v>40</v>
      </c>
      <c r="M7" s="1286">
        <v>74</v>
      </c>
      <c r="N7" s="1286">
        <v>48</v>
      </c>
      <c r="O7" s="1286">
        <v>38</v>
      </c>
      <c r="P7" s="1286">
        <v>1891</v>
      </c>
      <c r="Q7" s="498">
        <v>1</v>
      </c>
      <c r="R7" s="679">
        <v>544</v>
      </c>
      <c r="S7" s="679">
        <v>34</v>
      </c>
      <c r="T7" s="679">
        <v>20</v>
      </c>
      <c r="U7" s="679">
        <v>62</v>
      </c>
      <c r="V7" s="679">
        <v>22</v>
      </c>
      <c r="W7" s="679">
        <v>21</v>
      </c>
      <c r="X7" s="679">
        <v>47</v>
      </c>
      <c r="Y7" s="679">
        <v>47</v>
      </c>
      <c r="Z7" s="679">
        <v>25</v>
      </c>
      <c r="AA7" s="679">
        <v>46</v>
      </c>
      <c r="AB7" s="679">
        <v>21</v>
      </c>
      <c r="AC7" s="679">
        <v>27</v>
      </c>
      <c r="AD7" s="679">
        <v>24</v>
      </c>
      <c r="AE7" s="679">
        <v>22</v>
      </c>
      <c r="AF7" s="679">
        <v>962</v>
      </c>
      <c r="AG7" s="498">
        <v>1</v>
      </c>
      <c r="AH7" s="1287">
        <v>511</v>
      </c>
      <c r="AI7" s="1287">
        <v>27</v>
      </c>
      <c r="AJ7" s="1287">
        <v>23</v>
      </c>
      <c r="AK7" s="1287">
        <v>65</v>
      </c>
      <c r="AL7" s="1287">
        <v>22</v>
      </c>
      <c r="AM7" s="1287">
        <v>16</v>
      </c>
      <c r="AN7" s="1287">
        <v>48</v>
      </c>
      <c r="AO7" s="1287">
        <v>32</v>
      </c>
      <c r="AP7" s="1287">
        <v>29</v>
      </c>
      <c r="AQ7" s="1287">
        <v>50</v>
      </c>
      <c r="AR7" s="1287">
        <v>19</v>
      </c>
      <c r="AS7" s="1287">
        <v>47</v>
      </c>
      <c r="AT7" s="1287">
        <v>24</v>
      </c>
      <c r="AU7" s="1287">
        <v>16</v>
      </c>
      <c r="AV7" s="1287">
        <v>929</v>
      </c>
    </row>
    <row r="8" spans="1:48">
      <c r="A8" s="498">
        <v>2</v>
      </c>
      <c r="B8" s="1286">
        <v>892</v>
      </c>
      <c r="C8" s="1286">
        <v>74</v>
      </c>
      <c r="D8" s="1286">
        <v>52</v>
      </c>
      <c r="E8" s="1286">
        <v>93</v>
      </c>
      <c r="F8" s="1286">
        <v>29</v>
      </c>
      <c r="G8" s="1286">
        <v>36</v>
      </c>
      <c r="H8" s="1286">
        <v>80</v>
      </c>
      <c r="I8" s="1286">
        <v>67</v>
      </c>
      <c r="J8" s="1286">
        <v>43</v>
      </c>
      <c r="K8" s="1286">
        <v>60</v>
      </c>
      <c r="L8" s="1286">
        <v>34</v>
      </c>
      <c r="M8" s="1286">
        <v>81</v>
      </c>
      <c r="N8" s="1286">
        <v>72</v>
      </c>
      <c r="O8" s="1286">
        <v>52</v>
      </c>
      <c r="P8" s="1286">
        <v>1665</v>
      </c>
      <c r="Q8" s="498">
        <v>2</v>
      </c>
      <c r="R8" s="679">
        <v>467</v>
      </c>
      <c r="S8" s="679">
        <v>33</v>
      </c>
      <c r="T8" s="679">
        <v>27</v>
      </c>
      <c r="U8" s="679">
        <v>48</v>
      </c>
      <c r="V8" s="679">
        <v>10</v>
      </c>
      <c r="W8" s="679">
        <v>22</v>
      </c>
      <c r="X8" s="679">
        <v>44</v>
      </c>
      <c r="Y8" s="679">
        <v>37</v>
      </c>
      <c r="Z8" s="679">
        <v>21</v>
      </c>
      <c r="AA8" s="679">
        <v>33</v>
      </c>
      <c r="AB8" s="679">
        <v>21</v>
      </c>
      <c r="AC8" s="679">
        <v>42</v>
      </c>
      <c r="AD8" s="679">
        <v>26</v>
      </c>
      <c r="AE8" s="679">
        <v>29</v>
      </c>
      <c r="AF8" s="679">
        <v>860</v>
      </c>
      <c r="AG8" s="498">
        <v>2</v>
      </c>
      <c r="AH8" s="1287">
        <v>425</v>
      </c>
      <c r="AI8" s="1287">
        <v>41</v>
      </c>
      <c r="AJ8" s="1287">
        <v>25</v>
      </c>
      <c r="AK8" s="1287">
        <v>45</v>
      </c>
      <c r="AL8" s="1287">
        <v>19</v>
      </c>
      <c r="AM8" s="1287">
        <v>14</v>
      </c>
      <c r="AN8" s="1287">
        <v>36</v>
      </c>
      <c r="AO8" s="1287">
        <v>30</v>
      </c>
      <c r="AP8" s="1287">
        <v>22</v>
      </c>
      <c r="AQ8" s="1287">
        <v>27</v>
      </c>
      <c r="AR8" s="1287">
        <v>13</v>
      </c>
      <c r="AS8" s="1287">
        <v>39</v>
      </c>
      <c r="AT8" s="1287">
        <v>46</v>
      </c>
      <c r="AU8" s="1287">
        <v>23</v>
      </c>
      <c r="AV8" s="1287">
        <v>805</v>
      </c>
    </row>
    <row r="9" spans="1:48">
      <c r="A9" s="498">
        <v>3</v>
      </c>
      <c r="B9" s="1286">
        <v>983</v>
      </c>
      <c r="C9" s="1286">
        <v>67</v>
      </c>
      <c r="D9" s="1286">
        <v>48</v>
      </c>
      <c r="E9" s="1286">
        <v>107</v>
      </c>
      <c r="F9" s="1286">
        <v>35</v>
      </c>
      <c r="G9" s="1286">
        <v>42</v>
      </c>
      <c r="H9" s="1286">
        <v>91</v>
      </c>
      <c r="I9" s="1286">
        <v>81</v>
      </c>
      <c r="J9" s="1286">
        <v>37</v>
      </c>
      <c r="K9" s="1286">
        <v>84</v>
      </c>
      <c r="L9" s="1286">
        <v>38</v>
      </c>
      <c r="M9" s="1286">
        <v>87</v>
      </c>
      <c r="N9" s="1286">
        <v>66</v>
      </c>
      <c r="O9" s="1286">
        <v>41</v>
      </c>
      <c r="P9" s="1286">
        <v>1807</v>
      </c>
      <c r="Q9" s="498">
        <v>3</v>
      </c>
      <c r="R9" s="679">
        <v>524</v>
      </c>
      <c r="S9" s="679">
        <v>33</v>
      </c>
      <c r="T9" s="679">
        <v>21</v>
      </c>
      <c r="U9" s="679">
        <v>58</v>
      </c>
      <c r="V9" s="679">
        <v>14</v>
      </c>
      <c r="W9" s="679">
        <v>23</v>
      </c>
      <c r="X9" s="679">
        <v>49</v>
      </c>
      <c r="Y9" s="679">
        <v>37</v>
      </c>
      <c r="Z9" s="679">
        <v>21</v>
      </c>
      <c r="AA9" s="679">
        <v>47</v>
      </c>
      <c r="AB9" s="679">
        <v>16</v>
      </c>
      <c r="AC9" s="679">
        <v>48</v>
      </c>
      <c r="AD9" s="679">
        <v>43</v>
      </c>
      <c r="AE9" s="679">
        <v>17</v>
      </c>
      <c r="AF9" s="679">
        <v>951</v>
      </c>
      <c r="AG9" s="498">
        <v>3</v>
      </c>
      <c r="AH9" s="1287">
        <v>459</v>
      </c>
      <c r="AI9" s="1287">
        <v>34</v>
      </c>
      <c r="AJ9" s="1287">
        <v>27</v>
      </c>
      <c r="AK9" s="1287">
        <v>49</v>
      </c>
      <c r="AL9" s="1287">
        <v>21</v>
      </c>
      <c r="AM9" s="1287">
        <v>19</v>
      </c>
      <c r="AN9" s="1287">
        <v>42</v>
      </c>
      <c r="AO9" s="1287">
        <v>44</v>
      </c>
      <c r="AP9" s="1287">
        <v>16</v>
      </c>
      <c r="AQ9" s="1287">
        <v>37</v>
      </c>
      <c r="AR9" s="1287">
        <v>22</v>
      </c>
      <c r="AS9" s="1287">
        <v>39</v>
      </c>
      <c r="AT9" s="1287">
        <v>23</v>
      </c>
      <c r="AU9" s="1287">
        <v>24</v>
      </c>
      <c r="AV9" s="1287">
        <v>856</v>
      </c>
    </row>
    <row r="10" spans="1:48">
      <c r="A10" s="498">
        <v>4</v>
      </c>
      <c r="B10" s="1286">
        <v>895</v>
      </c>
      <c r="C10" s="1286">
        <v>72</v>
      </c>
      <c r="D10" s="1286">
        <v>40</v>
      </c>
      <c r="E10" s="1286">
        <v>116</v>
      </c>
      <c r="F10" s="1286">
        <v>39</v>
      </c>
      <c r="G10" s="1286">
        <v>28</v>
      </c>
      <c r="H10" s="1286">
        <v>84</v>
      </c>
      <c r="I10" s="1286">
        <v>74</v>
      </c>
      <c r="J10" s="1286">
        <v>41</v>
      </c>
      <c r="K10" s="1286">
        <v>87</v>
      </c>
      <c r="L10" s="1286">
        <v>38</v>
      </c>
      <c r="M10" s="1286">
        <v>92</v>
      </c>
      <c r="N10" s="1286">
        <v>56</v>
      </c>
      <c r="O10" s="1286">
        <v>39</v>
      </c>
      <c r="P10" s="1286">
        <v>1701</v>
      </c>
      <c r="Q10" s="498">
        <v>4</v>
      </c>
      <c r="R10" s="679">
        <v>448</v>
      </c>
      <c r="S10" s="679">
        <v>37</v>
      </c>
      <c r="T10" s="679">
        <v>25</v>
      </c>
      <c r="U10" s="679">
        <v>55</v>
      </c>
      <c r="V10" s="679">
        <v>28</v>
      </c>
      <c r="W10" s="679">
        <v>19</v>
      </c>
      <c r="X10" s="679">
        <v>41</v>
      </c>
      <c r="Y10" s="679">
        <v>37</v>
      </c>
      <c r="Z10" s="679">
        <v>16</v>
      </c>
      <c r="AA10" s="679">
        <v>48</v>
      </c>
      <c r="AB10" s="679">
        <v>23</v>
      </c>
      <c r="AC10" s="679">
        <v>41</v>
      </c>
      <c r="AD10" s="679">
        <v>30</v>
      </c>
      <c r="AE10" s="679">
        <v>22</v>
      </c>
      <c r="AF10" s="679">
        <v>870</v>
      </c>
      <c r="AG10" s="498">
        <v>4</v>
      </c>
      <c r="AH10" s="1287">
        <v>447</v>
      </c>
      <c r="AI10" s="1287">
        <v>35</v>
      </c>
      <c r="AJ10" s="1287">
        <v>15</v>
      </c>
      <c r="AK10" s="1287">
        <v>61</v>
      </c>
      <c r="AL10" s="1287">
        <v>11</v>
      </c>
      <c r="AM10" s="1287">
        <v>9</v>
      </c>
      <c r="AN10" s="1287">
        <v>43</v>
      </c>
      <c r="AO10" s="1287">
        <v>37</v>
      </c>
      <c r="AP10" s="1287">
        <v>25</v>
      </c>
      <c r="AQ10" s="1287">
        <v>39</v>
      </c>
      <c r="AR10" s="1287">
        <v>15</v>
      </c>
      <c r="AS10" s="1287">
        <v>51</v>
      </c>
      <c r="AT10" s="1287">
        <v>26</v>
      </c>
      <c r="AU10" s="1287">
        <v>17</v>
      </c>
      <c r="AV10" s="1287">
        <v>831</v>
      </c>
    </row>
    <row r="11" spans="1:48">
      <c r="A11" s="498" t="s">
        <v>2323</v>
      </c>
      <c r="B11" s="1286">
        <v>4681</v>
      </c>
      <c r="C11" s="1286">
        <v>323</v>
      </c>
      <c r="D11" s="1286">
        <v>228</v>
      </c>
      <c r="E11" s="1286">
        <v>549</v>
      </c>
      <c r="F11" s="1286">
        <v>179</v>
      </c>
      <c r="G11" s="1286">
        <v>175</v>
      </c>
      <c r="H11" s="1286">
        <v>428</v>
      </c>
      <c r="I11" s="1286">
        <v>350</v>
      </c>
      <c r="J11" s="1286">
        <v>222</v>
      </c>
      <c r="K11" s="1286">
        <v>383</v>
      </c>
      <c r="L11" s="1286">
        <v>189</v>
      </c>
      <c r="M11" s="1286">
        <v>415</v>
      </c>
      <c r="N11" s="1286">
        <v>305</v>
      </c>
      <c r="O11" s="1286">
        <v>205</v>
      </c>
      <c r="P11" s="1286">
        <v>8632</v>
      </c>
      <c r="Q11" s="498" t="s">
        <v>2323</v>
      </c>
      <c r="R11" s="679">
        <v>2415</v>
      </c>
      <c r="S11" s="679">
        <v>163</v>
      </c>
      <c r="T11" s="679">
        <v>109</v>
      </c>
      <c r="U11" s="679">
        <v>274</v>
      </c>
      <c r="V11" s="679">
        <v>94</v>
      </c>
      <c r="W11" s="679">
        <v>100</v>
      </c>
      <c r="X11" s="679">
        <v>225</v>
      </c>
      <c r="Y11" s="679">
        <v>186</v>
      </c>
      <c r="Z11" s="679">
        <v>108</v>
      </c>
      <c r="AA11" s="679">
        <v>211</v>
      </c>
      <c r="AB11" s="679">
        <v>101</v>
      </c>
      <c r="AC11" s="679">
        <v>199</v>
      </c>
      <c r="AD11" s="679">
        <v>153</v>
      </c>
      <c r="AE11" s="679">
        <v>107</v>
      </c>
      <c r="AF11" s="679">
        <v>4445</v>
      </c>
      <c r="AG11" s="498" t="s">
        <v>2323</v>
      </c>
      <c r="AH11" s="1287">
        <v>2266</v>
      </c>
      <c r="AI11" s="1287">
        <v>160</v>
      </c>
      <c r="AJ11" s="1287">
        <v>119</v>
      </c>
      <c r="AK11" s="1287">
        <v>275</v>
      </c>
      <c r="AL11" s="1287">
        <v>85</v>
      </c>
      <c r="AM11" s="1287">
        <v>75</v>
      </c>
      <c r="AN11" s="1287">
        <v>203</v>
      </c>
      <c r="AO11" s="1287">
        <v>164</v>
      </c>
      <c r="AP11" s="1287">
        <v>114</v>
      </c>
      <c r="AQ11" s="1287">
        <v>172</v>
      </c>
      <c r="AR11" s="1287">
        <v>88</v>
      </c>
      <c r="AS11" s="1287">
        <v>216</v>
      </c>
      <c r="AT11" s="1287">
        <v>152</v>
      </c>
      <c r="AU11" s="1287">
        <v>98</v>
      </c>
      <c r="AV11" s="1287">
        <v>4187</v>
      </c>
    </row>
    <row r="12" spans="1:48">
      <c r="A12" s="498">
        <v>5</v>
      </c>
      <c r="B12" s="1286">
        <v>784</v>
      </c>
      <c r="C12" s="1286">
        <v>50</v>
      </c>
      <c r="D12" s="1286">
        <v>44</v>
      </c>
      <c r="E12" s="1286">
        <v>75</v>
      </c>
      <c r="F12" s="1286">
        <v>27</v>
      </c>
      <c r="G12" s="1286">
        <v>32</v>
      </c>
      <c r="H12" s="1286">
        <v>53</v>
      </c>
      <c r="I12" s="1286">
        <v>50</v>
      </c>
      <c r="J12" s="1286">
        <v>33</v>
      </c>
      <c r="K12" s="1286">
        <v>46</v>
      </c>
      <c r="L12" s="1286">
        <v>36</v>
      </c>
      <c r="M12" s="1286">
        <v>55</v>
      </c>
      <c r="N12" s="1286">
        <v>52</v>
      </c>
      <c r="O12" s="1286">
        <v>31</v>
      </c>
      <c r="P12" s="1286">
        <v>1368</v>
      </c>
      <c r="Q12" s="498">
        <v>5</v>
      </c>
      <c r="R12" s="679">
        <v>409</v>
      </c>
      <c r="S12" s="679">
        <v>24</v>
      </c>
      <c r="T12" s="679">
        <v>20</v>
      </c>
      <c r="U12" s="679">
        <v>37</v>
      </c>
      <c r="V12" s="679">
        <v>16</v>
      </c>
      <c r="W12" s="679">
        <v>14</v>
      </c>
      <c r="X12" s="679">
        <v>27</v>
      </c>
      <c r="Y12" s="679">
        <v>24</v>
      </c>
      <c r="Z12" s="679">
        <v>18</v>
      </c>
      <c r="AA12" s="679">
        <v>22</v>
      </c>
      <c r="AB12" s="679">
        <v>18</v>
      </c>
      <c r="AC12" s="679">
        <v>35</v>
      </c>
      <c r="AD12" s="679">
        <v>25</v>
      </c>
      <c r="AE12" s="679">
        <v>16</v>
      </c>
      <c r="AF12" s="679">
        <v>705</v>
      </c>
      <c r="AG12" s="498">
        <v>5</v>
      </c>
      <c r="AH12" s="1287">
        <v>375</v>
      </c>
      <c r="AI12" s="1287">
        <v>26</v>
      </c>
      <c r="AJ12" s="1287">
        <v>24</v>
      </c>
      <c r="AK12" s="1287">
        <v>38</v>
      </c>
      <c r="AL12" s="1287">
        <v>11</v>
      </c>
      <c r="AM12" s="1287">
        <v>18</v>
      </c>
      <c r="AN12" s="1287">
        <v>26</v>
      </c>
      <c r="AO12" s="1287">
        <v>26</v>
      </c>
      <c r="AP12" s="1287">
        <v>15</v>
      </c>
      <c r="AQ12" s="1287">
        <v>24</v>
      </c>
      <c r="AR12" s="1287">
        <v>18</v>
      </c>
      <c r="AS12" s="1287">
        <v>20</v>
      </c>
      <c r="AT12" s="1287">
        <v>27</v>
      </c>
      <c r="AU12" s="1287">
        <v>15</v>
      </c>
      <c r="AV12" s="1287">
        <v>663</v>
      </c>
    </row>
    <row r="13" spans="1:48">
      <c r="A13" s="498">
        <v>6</v>
      </c>
      <c r="B13" s="1286">
        <v>698</v>
      </c>
      <c r="C13" s="1286">
        <v>41</v>
      </c>
      <c r="D13" s="1286">
        <v>31</v>
      </c>
      <c r="E13" s="1286">
        <v>62</v>
      </c>
      <c r="F13" s="1286">
        <v>24</v>
      </c>
      <c r="G13" s="1286">
        <v>17</v>
      </c>
      <c r="H13" s="1286">
        <v>49</v>
      </c>
      <c r="I13" s="1286">
        <v>49</v>
      </c>
      <c r="J13" s="1286">
        <v>19</v>
      </c>
      <c r="K13" s="1286">
        <v>55</v>
      </c>
      <c r="L13" s="1286">
        <v>29</v>
      </c>
      <c r="M13" s="1286">
        <v>59</v>
      </c>
      <c r="N13" s="1286">
        <v>58</v>
      </c>
      <c r="O13" s="1286">
        <v>29</v>
      </c>
      <c r="P13" s="1286">
        <v>1220</v>
      </c>
      <c r="Q13" s="498">
        <v>6</v>
      </c>
      <c r="R13" s="679">
        <v>364</v>
      </c>
      <c r="S13" s="679">
        <v>17</v>
      </c>
      <c r="T13" s="679">
        <v>19</v>
      </c>
      <c r="U13" s="679">
        <v>29</v>
      </c>
      <c r="V13" s="679">
        <v>9</v>
      </c>
      <c r="W13" s="679">
        <v>10</v>
      </c>
      <c r="X13" s="679">
        <v>34</v>
      </c>
      <c r="Y13" s="679">
        <v>25</v>
      </c>
      <c r="Z13" s="679">
        <v>9</v>
      </c>
      <c r="AA13" s="679">
        <v>28</v>
      </c>
      <c r="AB13" s="679">
        <v>15</v>
      </c>
      <c r="AC13" s="679">
        <v>27</v>
      </c>
      <c r="AD13" s="679">
        <v>31</v>
      </c>
      <c r="AE13" s="679">
        <v>12</v>
      </c>
      <c r="AF13" s="679">
        <v>629</v>
      </c>
      <c r="AG13" s="498">
        <v>6</v>
      </c>
      <c r="AH13" s="1287">
        <v>334</v>
      </c>
      <c r="AI13" s="1287">
        <v>24</v>
      </c>
      <c r="AJ13" s="1287">
        <v>12</v>
      </c>
      <c r="AK13" s="1287">
        <v>33</v>
      </c>
      <c r="AL13" s="1287">
        <v>15</v>
      </c>
      <c r="AM13" s="1287">
        <v>7</v>
      </c>
      <c r="AN13" s="1287">
        <v>15</v>
      </c>
      <c r="AO13" s="1287">
        <v>24</v>
      </c>
      <c r="AP13" s="1287">
        <v>10</v>
      </c>
      <c r="AQ13" s="1287">
        <v>27</v>
      </c>
      <c r="AR13" s="1287">
        <v>14</v>
      </c>
      <c r="AS13" s="1287">
        <v>32</v>
      </c>
      <c r="AT13" s="1287">
        <v>27</v>
      </c>
      <c r="AU13" s="1287">
        <v>17</v>
      </c>
      <c r="AV13" s="1287">
        <v>591</v>
      </c>
    </row>
    <row r="14" spans="1:48">
      <c r="A14" s="498">
        <v>7</v>
      </c>
      <c r="B14" s="1286">
        <v>649</v>
      </c>
      <c r="C14" s="1286">
        <v>48</v>
      </c>
      <c r="D14" s="1286">
        <v>30</v>
      </c>
      <c r="E14" s="1286">
        <v>74</v>
      </c>
      <c r="F14" s="1286">
        <v>18</v>
      </c>
      <c r="G14" s="1286">
        <v>18</v>
      </c>
      <c r="H14" s="1286">
        <v>42</v>
      </c>
      <c r="I14" s="1286">
        <v>48</v>
      </c>
      <c r="J14" s="1286">
        <v>40</v>
      </c>
      <c r="K14" s="1286">
        <v>49</v>
      </c>
      <c r="L14" s="1286">
        <v>20</v>
      </c>
      <c r="M14" s="1286">
        <v>82</v>
      </c>
      <c r="N14" s="1286">
        <v>45</v>
      </c>
      <c r="O14" s="1286">
        <v>27</v>
      </c>
      <c r="P14" s="1286">
        <v>1190</v>
      </c>
      <c r="Q14" s="498">
        <v>7</v>
      </c>
      <c r="R14" s="679">
        <v>326</v>
      </c>
      <c r="S14" s="679">
        <v>20</v>
      </c>
      <c r="T14" s="679">
        <v>12</v>
      </c>
      <c r="U14" s="679">
        <v>40</v>
      </c>
      <c r="V14" s="679">
        <v>9</v>
      </c>
      <c r="W14" s="679">
        <v>7</v>
      </c>
      <c r="X14" s="679">
        <v>18</v>
      </c>
      <c r="Y14" s="679">
        <v>27</v>
      </c>
      <c r="Z14" s="679">
        <v>19</v>
      </c>
      <c r="AA14" s="679">
        <v>22</v>
      </c>
      <c r="AB14" s="679">
        <v>8</v>
      </c>
      <c r="AC14" s="679">
        <v>48</v>
      </c>
      <c r="AD14" s="679">
        <v>22</v>
      </c>
      <c r="AE14" s="679">
        <v>12</v>
      </c>
      <c r="AF14" s="679">
        <v>590</v>
      </c>
      <c r="AG14" s="498">
        <v>7</v>
      </c>
      <c r="AH14" s="1287">
        <v>323</v>
      </c>
      <c r="AI14" s="1287">
        <v>28</v>
      </c>
      <c r="AJ14" s="1287">
        <v>18</v>
      </c>
      <c r="AK14" s="1287">
        <v>34</v>
      </c>
      <c r="AL14" s="1287">
        <v>9</v>
      </c>
      <c r="AM14" s="1287">
        <v>11</v>
      </c>
      <c r="AN14" s="1287">
        <v>24</v>
      </c>
      <c r="AO14" s="1287">
        <v>21</v>
      </c>
      <c r="AP14" s="1287">
        <v>21</v>
      </c>
      <c r="AQ14" s="1287">
        <v>27</v>
      </c>
      <c r="AR14" s="1287">
        <v>12</v>
      </c>
      <c r="AS14" s="1287">
        <v>34</v>
      </c>
      <c r="AT14" s="1287">
        <v>23</v>
      </c>
      <c r="AU14" s="1287">
        <v>15</v>
      </c>
      <c r="AV14" s="1287">
        <v>600</v>
      </c>
    </row>
    <row r="15" spans="1:48">
      <c r="A15" s="498">
        <v>8</v>
      </c>
      <c r="B15" s="1286">
        <v>665</v>
      </c>
      <c r="C15" s="1286">
        <v>58</v>
      </c>
      <c r="D15" s="1286">
        <v>24</v>
      </c>
      <c r="E15" s="1286">
        <v>79</v>
      </c>
      <c r="F15" s="1286">
        <v>22</v>
      </c>
      <c r="G15" s="1286">
        <v>23</v>
      </c>
      <c r="H15" s="1286">
        <v>43</v>
      </c>
      <c r="I15" s="1286">
        <v>34</v>
      </c>
      <c r="J15" s="1286">
        <v>30</v>
      </c>
      <c r="K15" s="1286">
        <v>60</v>
      </c>
      <c r="L15" s="1286">
        <v>20</v>
      </c>
      <c r="M15" s="1286">
        <v>67</v>
      </c>
      <c r="N15" s="1286">
        <v>33</v>
      </c>
      <c r="O15" s="1286">
        <v>36</v>
      </c>
      <c r="P15" s="1286">
        <v>1194</v>
      </c>
      <c r="Q15" s="498">
        <v>8</v>
      </c>
      <c r="R15" s="679">
        <v>346</v>
      </c>
      <c r="S15" s="679">
        <v>29</v>
      </c>
      <c r="T15" s="679">
        <v>14</v>
      </c>
      <c r="U15" s="679">
        <v>34</v>
      </c>
      <c r="V15" s="679">
        <v>11</v>
      </c>
      <c r="W15" s="679">
        <v>10</v>
      </c>
      <c r="X15" s="679">
        <v>22</v>
      </c>
      <c r="Y15" s="679">
        <v>17</v>
      </c>
      <c r="Z15" s="679">
        <v>15</v>
      </c>
      <c r="AA15" s="679">
        <v>27</v>
      </c>
      <c r="AB15" s="679">
        <v>12</v>
      </c>
      <c r="AC15" s="679">
        <v>34</v>
      </c>
      <c r="AD15" s="679">
        <v>13</v>
      </c>
      <c r="AE15" s="679">
        <v>15</v>
      </c>
      <c r="AF15" s="679">
        <v>599</v>
      </c>
      <c r="AG15" s="498">
        <v>8</v>
      </c>
      <c r="AH15" s="1287">
        <v>319</v>
      </c>
      <c r="AI15" s="1287">
        <v>29</v>
      </c>
      <c r="AJ15" s="1287">
        <v>10</v>
      </c>
      <c r="AK15" s="1287">
        <v>45</v>
      </c>
      <c r="AL15" s="1287">
        <v>11</v>
      </c>
      <c r="AM15" s="1287">
        <v>13</v>
      </c>
      <c r="AN15" s="1287">
        <v>21</v>
      </c>
      <c r="AO15" s="1287">
        <v>17</v>
      </c>
      <c r="AP15" s="1287">
        <v>15</v>
      </c>
      <c r="AQ15" s="1287">
        <v>33</v>
      </c>
      <c r="AR15" s="1287">
        <v>8</v>
      </c>
      <c r="AS15" s="1287">
        <v>33</v>
      </c>
      <c r="AT15" s="1287">
        <v>20</v>
      </c>
      <c r="AU15" s="1287">
        <v>21</v>
      </c>
      <c r="AV15" s="1287">
        <v>595</v>
      </c>
    </row>
    <row r="16" spans="1:48">
      <c r="A16" s="498">
        <v>9</v>
      </c>
      <c r="B16" s="1286">
        <v>548</v>
      </c>
      <c r="C16" s="1286">
        <v>38</v>
      </c>
      <c r="D16" s="1286">
        <v>23</v>
      </c>
      <c r="E16" s="1286">
        <v>61</v>
      </c>
      <c r="F16" s="1286">
        <v>21</v>
      </c>
      <c r="G16" s="1286">
        <v>18</v>
      </c>
      <c r="H16" s="1286">
        <v>72</v>
      </c>
      <c r="I16" s="1286">
        <v>38</v>
      </c>
      <c r="J16" s="1286">
        <v>24</v>
      </c>
      <c r="K16" s="1286">
        <v>42</v>
      </c>
      <c r="L16" s="1286">
        <v>26</v>
      </c>
      <c r="M16" s="1286">
        <v>49</v>
      </c>
      <c r="N16" s="1286">
        <v>40</v>
      </c>
      <c r="O16" s="1286">
        <v>23</v>
      </c>
      <c r="P16" s="1286">
        <v>1023</v>
      </c>
      <c r="Q16" s="498">
        <v>9</v>
      </c>
      <c r="R16" s="679">
        <v>288</v>
      </c>
      <c r="S16" s="679">
        <v>25</v>
      </c>
      <c r="T16" s="679">
        <v>12</v>
      </c>
      <c r="U16" s="679">
        <v>34</v>
      </c>
      <c r="V16" s="679">
        <v>10</v>
      </c>
      <c r="W16" s="679">
        <v>6</v>
      </c>
      <c r="X16" s="679">
        <v>43</v>
      </c>
      <c r="Y16" s="679">
        <v>17</v>
      </c>
      <c r="Z16" s="679">
        <v>13</v>
      </c>
      <c r="AA16" s="679">
        <v>21</v>
      </c>
      <c r="AB16" s="679">
        <v>12</v>
      </c>
      <c r="AC16" s="679">
        <v>24</v>
      </c>
      <c r="AD16" s="679">
        <v>25</v>
      </c>
      <c r="AE16" s="679">
        <v>15</v>
      </c>
      <c r="AF16" s="679">
        <v>545</v>
      </c>
      <c r="AG16" s="498">
        <v>9</v>
      </c>
      <c r="AH16" s="1287">
        <v>260</v>
      </c>
      <c r="AI16" s="1287">
        <v>13</v>
      </c>
      <c r="AJ16" s="1287">
        <v>11</v>
      </c>
      <c r="AK16" s="1287">
        <v>27</v>
      </c>
      <c r="AL16" s="1287">
        <v>11</v>
      </c>
      <c r="AM16" s="1287">
        <v>12</v>
      </c>
      <c r="AN16" s="1287">
        <v>29</v>
      </c>
      <c r="AO16" s="1287">
        <v>21</v>
      </c>
      <c r="AP16" s="1287">
        <v>11</v>
      </c>
      <c r="AQ16" s="1287">
        <v>21</v>
      </c>
      <c r="AR16" s="1287">
        <v>14</v>
      </c>
      <c r="AS16" s="1287">
        <v>25</v>
      </c>
      <c r="AT16" s="1287">
        <v>15</v>
      </c>
      <c r="AU16" s="1287">
        <v>8</v>
      </c>
      <c r="AV16" s="1287">
        <v>478</v>
      </c>
    </row>
    <row r="17" spans="1:48">
      <c r="A17" s="1288" t="s">
        <v>2324</v>
      </c>
      <c r="B17" s="1286">
        <v>3344</v>
      </c>
      <c r="C17" s="1286">
        <v>235</v>
      </c>
      <c r="D17" s="1286">
        <v>152</v>
      </c>
      <c r="E17" s="1286">
        <v>351</v>
      </c>
      <c r="F17" s="1286">
        <v>112</v>
      </c>
      <c r="G17" s="1286">
        <v>108</v>
      </c>
      <c r="H17" s="1286">
        <v>259</v>
      </c>
      <c r="I17" s="1286">
        <v>219</v>
      </c>
      <c r="J17" s="1286">
        <v>146</v>
      </c>
      <c r="K17" s="1286">
        <v>252</v>
      </c>
      <c r="L17" s="1286">
        <v>131</v>
      </c>
      <c r="M17" s="1286">
        <v>312</v>
      </c>
      <c r="N17" s="1286">
        <v>228</v>
      </c>
      <c r="O17" s="1286">
        <v>146</v>
      </c>
      <c r="P17" s="1286">
        <v>5995</v>
      </c>
      <c r="Q17" s="1288" t="s">
        <v>2324</v>
      </c>
      <c r="R17" s="679">
        <v>1733</v>
      </c>
      <c r="S17" s="679">
        <v>115</v>
      </c>
      <c r="T17" s="679">
        <v>77</v>
      </c>
      <c r="U17" s="679">
        <v>174</v>
      </c>
      <c r="V17" s="679">
        <v>55</v>
      </c>
      <c r="W17" s="679">
        <v>47</v>
      </c>
      <c r="X17" s="679">
        <v>144</v>
      </c>
      <c r="Y17" s="679">
        <v>110</v>
      </c>
      <c r="Z17" s="679">
        <v>74</v>
      </c>
      <c r="AA17" s="679">
        <v>120</v>
      </c>
      <c r="AB17" s="679">
        <v>65</v>
      </c>
      <c r="AC17" s="679">
        <v>168</v>
      </c>
      <c r="AD17" s="679">
        <v>116</v>
      </c>
      <c r="AE17" s="679">
        <v>70</v>
      </c>
      <c r="AF17" s="679">
        <v>3068</v>
      </c>
      <c r="AG17" s="1288" t="s">
        <v>2324</v>
      </c>
      <c r="AH17" s="1287">
        <v>1611</v>
      </c>
      <c r="AI17" s="1287">
        <v>120</v>
      </c>
      <c r="AJ17" s="1287">
        <v>75</v>
      </c>
      <c r="AK17" s="1287">
        <v>177</v>
      </c>
      <c r="AL17" s="1287">
        <v>57</v>
      </c>
      <c r="AM17" s="1287">
        <v>61</v>
      </c>
      <c r="AN17" s="1287">
        <v>115</v>
      </c>
      <c r="AO17" s="1287">
        <v>109</v>
      </c>
      <c r="AP17" s="1287">
        <v>72</v>
      </c>
      <c r="AQ17" s="1287">
        <v>132</v>
      </c>
      <c r="AR17" s="1287">
        <v>66</v>
      </c>
      <c r="AS17" s="1287">
        <v>144</v>
      </c>
      <c r="AT17" s="1287">
        <v>112</v>
      </c>
      <c r="AU17" s="1287">
        <v>76</v>
      </c>
      <c r="AV17" s="1287">
        <v>2927</v>
      </c>
    </row>
    <row r="18" spans="1:48">
      <c r="A18" s="498">
        <v>10</v>
      </c>
      <c r="B18" s="1286">
        <v>570</v>
      </c>
      <c r="C18" s="1286">
        <v>70</v>
      </c>
      <c r="D18" s="1286">
        <v>31</v>
      </c>
      <c r="E18" s="1286">
        <v>82</v>
      </c>
      <c r="F18" s="1286">
        <v>23</v>
      </c>
      <c r="G18" s="1286">
        <v>10</v>
      </c>
      <c r="H18" s="1286">
        <v>46</v>
      </c>
      <c r="I18" s="1286">
        <v>39</v>
      </c>
      <c r="J18" s="1286">
        <v>29</v>
      </c>
      <c r="K18" s="1286">
        <v>35</v>
      </c>
      <c r="L18" s="1286">
        <v>12</v>
      </c>
      <c r="M18" s="1286">
        <v>59</v>
      </c>
      <c r="N18" s="1286">
        <v>60</v>
      </c>
      <c r="O18" s="1286">
        <v>29</v>
      </c>
      <c r="P18" s="1286">
        <v>1095</v>
      </c>
      <c r="Q18" s="498">
        <v>10</v>
      </c>
      <c r="R18" s="679">
        <v>302</v>
      </c>
      <c r="S18" s="679">
        <v>31</v>
      </c>
      <c r="T18" s="679">
        <v>16</v>
      </c>
      <c r="U18" s="679">
        <v>48</v>
      </c>
      <c r="V18" s="679">
        <v>13</v>
      </c>
      <c r="W18" s="679">
        <v>5</v>
      </c>
      <c r="X18" s="679">
        <v>16</v>
      </c>
      <c r="Y18" s="679">
        <v>19</v>
      </c>
      <c r="Z18" s="679">
        <v>14</v>
      </c>
      <c r="AA18" s="679">
        <v>19</v>
      </c>
      <c r="AB18" s="679">
        <v>6</v>
      </c>
      <c r="AC18" s="679">
        <v>29</v>
      </c>
      <c r="AD18" s="679">
        <v>36</v>
      </c>
      <c r="AE18" s="679">
        <v>14</v>
      </c>
      <c r="AF18" s="679">
        <v>568</v>
      </c>
      <c r="AG18" s="498">
        <v>10</v>
      </c>
      <c r="AH18" s="1287">
        <v>268</v>
      </c>
      <c r="AI18" s="1287">
        <v>39</v>
      </c>
      <c r="AJ18" s="1287">
        <v>15</v>
      </c>
      <c r="AK18" s="1287">
        <v>34</v>
      </c>
      <c r="AL18" s="1287">
        <v>10</v>
      </c>
      <c r="AM18" s="1287">
        <v>5</v>
      </c>
      <c r="AN18" s="1287">
        <v>30</v>
      </c>
      <c r="AO18" s="1287">
        <v>20</v>
      </c>
      <c r="AP18" s="1287">
        <v>15</v>
      </c>
      <c r="AQ18" s="1287">
        <v>16</v>
      </c>
      <c r="AR18" s="1287">
        <v>6</v>
      </c>
      <c r="AS18" s="1287">
        <v>30</v>
      </c>
      <c r="AT18" s="1287">
        <v>24</v>
      </c>
      <c r="AU18" s="1287">
        <v>15</v>
      </c>
      <c r="AV18" s="1287">
        <v>527</v>
      </c>
    </row>
    <row r="19" spans="1:48">
      <c r="A19" s="498">
        <v>11</v>
      </c>
      <c r="B19" s="1286">
        <v>594</v>
      </c>
      <c r="C19" s="1286">
        <v>45</v>
      </c>
      <c r="D19" s="1286">
        <v>27</v>
      </c>
      <c r="E19" s="1286">
        <v>86</v>
      </c>
      <c r="F19" s="1286">
        <v>24</v>
      </c>
      <c r="G19" s="1286">
        <v>22</v>
      </c>
      <c r="H19" s="1286">
        <v>57</v>
      </c>
      <c r="I19" s="1286">
        <v>43</v>
      </c>
      <c r="J19" s="1286">
        <v>31</v>
      </c>
      <c r="K19" s="1286">
        <v>59</v>
      </c>
      <c r="L19" s="1286">
        <v>21</v>
      </c>
      <c r="M19" s="1286">
        <v>73</v>
      </c>
      <c r="N19" s="1286">
        <v>29</v>
      </c>
      <c r="O19" s="1286">
        <v>30</v>
      </c>
      <c r="P19" s="1286">
        <v>1141</v>
      </c>
      <c r="Q19" s="498">
        <v>11</v>
      </c>
      <c r="R19" s="679">
        <v>325</v>
      </c>
      <c r="S19" s="679">
        <v>25</v>
      </c>
      <c r="T19" s="679">
        <v>19</v>
      </c>
      <c r="U19" s="679">
        <v>46</v>
      </c>
      <c r="V19" s="679">
        <v>12</v>
      </c>
      <c r="W19" s="679">
        <v>12</v>
      </c>
      <c r="X19" s="679">
        <v>26</v>
      </c>
      <c r="Y19" s="679">
        <v>24</v>
      </c>
      <c r="Z19" s="679">
        <v>17</v>
      </c>
      <c r="AA19" s="679">
        <v>30</v>
      </c>
      <c r="AB19" s="679">
        <v>16</v>
      </c>
      <c r="AC19" s="679">
        <v>37</v>
      </c>
      <c r="AD19" s="679">
        <v>14</v>
      </c>
      <c r="AE19" s="679">
        <v>14</v>
      </c>
      <c r="AF19" s="679">
        <v>617</v>
      </c>
      <c r="AG19" s="498">
        <v>11</v>
      </c>
      <c r="AH19" s="1287">
        <v>269</v>
      </c>
      <c r="AI19" s="1287">
        <v>20</v>
      </c>
      <c r="AJ19" s="1287">
        <v>8</v>
      </c>
      <c r="AK19" s="1287">
        <v>40</v>
      </c>
      <c r="AL19" s="1287">
        <v>12</v>
      </c>
      <c r="AM19" s="1287">
        <v>10</v>
      </c>
      <c r="AN19" s="1287">
        <v>31</v>
      </c>
      <c r="AO19" s="1287">
        <v>19</v>
      </c>
      <c r="AP19" s="1287">
        <v>14</v>
      </c>
      <c r="AQ19" s="1287">
        <v>29</v>
      </c>
      <c r="AR19" s="1287">
        <v>5</v>
      </c>
      <c r="AS19" s="1287">
        <v>36</v>
      </c>
      <c r="AT19" s="1287">
        <v>15</v>
      </c>
      <c r="AU19" s="1287">
        <v>16</v>
      </c>
      <c r="AV19" s="1287">
        <v>524</v>
      </c>
    </row>
    <row r="20" spans="1:48">
      <c r="A20" s="498">
        <v>12</v>
      </c>
      <c r="B20" s="1286">
        <v>637</v>
      </c>
      <c r="C20" s="1286">
        <v>46</v>
      </c>
      <c r="D20" s="1286">
        <v>32</v>
      </c>
      <c r="E20" s="1286">
        <v>89</v>
      </c>
      <c r="F20" s="1286">
        <v>29</v>
      </c>
      <c r="G20" s="1286">
        <v>20</v>
      </c>
      <c r="H20" s="1286">
        <v>52</v>
      </c>
      <c r="I20" s="1286">
        <v>53</v>
      </c>
      <c r="J20" s="1286">
        <v>42</v>
      </c>
      <c r="K20" s="1286">
        <v>45</v>
      </c>
      <c r="L20" s="1286">
        <v>22</v>
      </c>
      <c r="M20" s="1286">
        <v>85</v>
      </c>
      <c r="N20" s="1286">
        <v>45</v>
      </c>
      <c r="O20" s="1286">
        <v>20</v>
      </c>
      <c r="P20" s="1286">
        <v>1217</v>
      </c>
      <c r="Q20" s="498">
        <v>12</v>
      </c>
      <c r="R20" s="679">
        <v>297</v>
      </c>
      <c r="S20" s="679">
        <v>23</v>
      </c>
      <c r="T20" s="679">
        <v>18</v>
      </c>
      <c r="U20" s="679">
        <v>40</v>
      </c>
      <c r="V20" s="679">
        <v>16</v>
      </c>
      <c r="W20" s="679">
        <v>11</v>
      </c>
      <c r="X20" s="679">
        <v>26</v>
      </c>
      <c r="Y20" s="679">
        <v>32</v>
      </c>
      <c r="Z20" s="679">
        <v>21</v>
      </c>
      <c r="AA20" s="679">
        <v>32</v>
      </c>
      <c r="AB20" s="679">
        <v>8</v>
      </c>
      <c r="AC20" s="679">
        <v>33</v>
      </c>
      <c r="AD20" s="679">
        <v>25</v>
      </c>
      <c r="AE20" s="679">
        <v>13</v>
      </c>
      <c r="AF20" s="679">
        <v>595</v>
      </c>
      <c r="AG20" s="498">
        <v>12</v>
      </c>
      <c r="AH20" s="1287">
        <v>340</v>
      </c>
      <c r="AI20" s="1287">
        <v>23</v>
      </c>
      <c r="AJ20" s="1287">
        <v>14</v>
      </c>
      <c r="AK20" s="1287">
        <v>49</v>
      </c>
      <c r="AL20" s="1287">
        <v>13</v>
      </c>
      <c r="AM20" s="1287">
        <v>9</v>
      </c>
      <c r="AN20" s="1287">
        <v>26</v>
      </c>
      <c r="AO20" s="1287">
        <v>21</v>
      </c>
      <c r="AP20" s="1287">
        <v>21</v>
      </c>
      <c r="AQ20" s="1287">
        <v>13</v>
      </c>
      <c r="AR20" s="1287">
        <v>14</v>
      </c>
      <c r="AS20" s="1287">
        <v>52</v>
      </c>
      <c r="AT20" s="1287">
        <v>20</v>
      </c>
      <c r="AU20" s="1287">
        <v>7</v>
      </c>
      <c r="AV20" s="1287">
        <v>622</v>
      </c>
    </row>
    <row r="21" spans="1:48">
      <c r="A21" s="498">
        <v>13</v>
      </c>
      <c r="B21" s="1286">
        <v>638</v>
      </c>
      <c r="C21" s="1286">
        <v>67</v>
      </c>
      <c r="D21" s="1286">
        <v>32</v>
      </c>
      <c r="E21" s="1286">
        <v>64</v>
      </c>
      <c r="F21" s="1286">
        <v>29</v>
      </c>
      <c r="G21" s="1286">
        <v>21</v>
      </c>
      <c r="H21" s="1286">
        <v>57</v>
      </c>
      <c r="I21" s="1286">
        <v>37</v>
      </c>
      <c r="J21" s="1286">
        <v>38</v>
      </c>
      <c r="K21" s="1286">
        <v>57</v>
      </c>
      <c r="L21" s="1286">
        <v>18</v>
      </c>
      <c r="M21" s="1286">
        <v>81</v>
      </c>
      <c r="N21" s="1286">
        <v>41</v>
      </c>
      <c r="O21" s="1286">
        <v>18</v>
      </c>
      <c r="P21" s="1286">
        <v>1198</v>
      </c>
      <c r="Q21" s="498">
        <v>13</v>
      </c>
      <c r="R21" s="679">
        <v>323</v>
      </c>
      <c r="S21" s="679">
        <v>24</v>
      </c>
      <c r="T21" s="679">
        <v>14</v>
      </c>
      <c r="U21" s="679">
        <v>30</v>
      </c>
      <c r="V21" s="679">
        <v>16</v>
      </c>
      <c r="W21" s="679">
        <v>12</v>
      </c>
      <c r="X21" s="679">
        <v>40</v>
      </c>
      <c r="Y21" s="679">
        <v>22</v>
      </c>
      <c r="Z21" s="679">
        <v>23</v>
      </c>
      <c r="AA21" s="679">
        <v>32</v>
      </c>
      <c r="AB21" s="679">
        <v>7</v>
      </c>
      <c r="AC21" s="679">
        <v>39</v>
      </c>
      <c r="AD21" s="679">
        <v>17</v>
      </c>
      <c r="AE21" s="679">
        <v>13</v>
      </c>
      <c r="AF21" s="679">
        <v>612</v>
      </c>
      <c r="AG21" s="498">
        <v>13</v>
      </c>
      <c r="AH21" s="1287">
        <v>315</v>
      </c>
      <c r="AI21" s="1287">
        <v>43</v>
      </c>
      <c r="AJ21" s="1287">
        <v>18</v>
      </c>
      <c r="AK21" s="1287">
        <v>34</v>
      </c>
      <c r="AL21" s="1287">
        <v>13</v>
      </c>
      <c r="AM21" s="1287">
        <v>9</v>
      </c>
      <c r="AN21" s="1287">
        <v>17</v>
      </c>
      <c r="AO21" s="1287">
        <v>15</v>
      </c>
      <c r="AP21" s="1287">
        <v>15</v>
      </c>
      <c r="AQ21" s="1287">
        <v>25</v>
      </c>
      <c r="AR21" s="1287">
        <v>11</v>
      </c>
      <c r="AS21" s="1287">
        <v>42</v>
      </c>
      <c r="AT21" s="1287">
        <v>24</v>
      </c>
      <c r="AU21" s="1287">
        <v>5</v>
      </c>
      <c r="AV21" s="1287">
        <v>586</v>
      </c>
    </row>
    <row r="22" spans="1:48">
      <c r="A22" s="498">
        <v>14</v>
      </c>
      <c r="B22" s="1286">
        <v>645</v>
      </c>
      <c r="C22" s="1286">
        <v>51</v>
      </c>
      <c r="D22" s="1286">
        <v>33</v>
      </c>
      <c r="E22" s="1286">
        <v>73</v>
      </c>
      <c r="F22" s="1286">
        <v>30</v>
      </c>
      <c r="G22" s="1286">
        <v>19</v>
      </c>
      <c r="H22" s="1286">
        <v>55</v>
      </c>
      <c r="I22" s="1286">
        <v>40</v>
      </c>
      <c r="J22" s="1286">
        <v>34</v>
      </c>
      <c r="K22" s="1286">
        <v>73</v>
      </c>
      <c r="L22" s="1286">
        <v>21</v>
      </c>
      <c r="M22" s="1286">
        <v>62</v>
      </c>
      <c r="N22" s="1286">
        <v>41</v>
      </c>
      <c r="O22" s="1286">
        <v>35</v>
      </c>
      <c r="P22" s="1286">
        <v>1212</v>
      </c>
      <c r="Q22" s="498">
        <v>14</v>
      </c>
      <c r="R22" s="679">
        <v>308</v>
      </c>
      <c r="S22" s="679">
        <v>26</v>
      </c>
      <c r="T22" s="679">
        <v>20</v>
      </c>
      <c r="U22" s="679">
        <v>34</v>
      </c>
      <c r="V22" s="679">
        <v>16</v>
      </c>
      <c r="W22" s="679">
        <v>11</v>
      </c>
      <c r="X22" s="679">
        <v>26</v>
      </c>
      <c r="Y22" s="679">
        <v>15</v>
      </c>
      <c r="Z22" s="679">
        <v>14</v>
      </c>
      <c r="AA22" s="679">
        <v>40</v>
      </c>
      <c r="AB22" s="679">
        <v>10</v>
      </c>
      <c r="AC22" s="679">
        <v>37</v>
      </c>
      <c r="AD22" s="679">
        <v>21</v>
      </c>
      <c r="AE22" s="679">
        <v>22</v>
      </c>
      <c r="AF22" s="679">
        <v>600</v>
      </c>
      <c r="AG22" s="498">
        <v>14</v>
      </c>
      <c r="AH22" s="1287">
        <v>337</v>
      </c>
      <c r="AI22" s="1287">
        <v>25</v>
      </c>
      <c r="AJ22" s="1287">
        <v>13</v>
      </c>
      <c r="AK22" s="1287">
        <v>39</v>
      </c>
      <c r="AL22" s="1287">
        <v>14</v>
      </c>
      <c r="AM22" s="1287">
        <v>8</v>
      </c>
      <c r="AN22" s="1287">
        <v>29</v>
      </c>
      <c r="AO22" s="1287">
        <v>25</v>
      </c>
      <c r="AP22" s="1287">
        <v>20</v>
      </c>
      <c r="AQ22" s="1287">
        <v>33</v>
      </c>
      <c r="AR22" s="1287">
        <v>11</v>
      </c>
      <c r="AS22" s="1287">
        <v>25</v>
      </c>
      <c r="AT22" s="1287">
        <v>20</v>
      </c>
      <c r="AU22" s="1287">
        <v>13</v>
      </c>
      <c r="AV22" s="1287">
        <v>612</v>
      </c>
    </row>
    <row r="23" spans="1:48">
      <c r="A23" s="1288" t="s">
        <v>2325</v>
      </c>
      <c r="B23" s="1286">
        <v>3084</v>
      </c>
      <c r="C23" s="1286">
        <v>279</v>
      </c>
      <c r="D23" s="1286">
        <v>155</v>
      </c>
      <c r="E23" s="1286">
        <v>394</v>
      </c>
      <c r="F23" s="1286">
        <v>135</v>
      </c>
      <c r="G23" s="1286">
        <v>92</v>
      </c>
      <c r="H23" s="1286">
        <v>267</v>
      </c>
      <c r="I23" s="1286">
        <v>212</v>
      </c>
      <c r="J23" s="1286">
        <v>174</v>
      </c>
      <c r="K23" s="1286">
        <v>269</v>
      </c>
      <c r="L23" s="1286">
        <v>94</v>
      </c>
      <c r="M23" s="1286">
        <v>360</v>
      </c>
      <c r="N23" s="1286">
        <v>216</v>
      </c>
      <c r="O23" s="1286">
        <v>132</v>
      </c>
      <c r="P23" s="1286">
        <v>5863</v>
      </c>
      <c r="Q23" s="1288" t="s">
        <v>2325</v>
      </c>
      <c r="R23" s="679">
        <v>1555</v>
      </c>
      <c r="S23" s="679">
        <v>129</v>
      </c>
      <c r="T23" s="679">
        <v>87</v>
      </c>
      <c r="U23" s="679">
        <v>198</v>
      </c>
      <c r="V23" s="679">
        <v>73</v>
      </c>
      <c r="W23" s="679">
        <v>51</v>
      </c>
      <c r="X23" s="679">
        <v>134</v>
      </c>
      <c r="Y23" s="679">
        <v>112</v>
      </c>
      <c r="Z23" s="679">
        <v>89</v>
      </c>
      <c r="AA23" s="679">
        <v>153</v>
      </c>
      <c r="AB23" s="679">
        <v>47</v>
      </c>
      <c r="AC23" s="679">
        <v>175</v>
      </c>
      <c r="AD23" s="679">
        <v>113</v>
      </c>
      <c r="AE23" s="679">
        <v>76</v>
      </c>
      <c r="AF23" s="679">
        <v>2992</v>
      </c>
      <c r="AG23" s="1288" t="s">
        <v>2325</v>
      </c>
      <c r="AH23" s="1287">
        <v>1529</v>
      </c>
      <c r="AI23" s="1287">
        <v>150</v>
      </c>
      <c r="AJ23" s="1287">
        <v>68</v>
      </c>
      <c r="AK23" s="1287">
        <v>196</v>
      </c>
      <c r="AL23" s="1287">
        <v>62</v>
      </c>
      <c r="AM23" s="1287">
        <v>41</v>
      </c>
      <c r="AN23" s="1287">
        <v>133</v>
      </c>
      <c r="AO23" s="1287">
        <v>100</v>
      </c>
      <c r="AP23" s="1287">
        <v>85</v>
      </c>
      <c r="AQ23" s="1287">
        <v>116</v>
      </c>
      <c r="AR23" s="1287">
        <v>47</v>
      </c>
      <c r="AS23" s="1287">
        <v>185</v>
      </c>
      <c r="AT23" s="1287">
        <v>103</v>
      </c>
      <c r="AU23" s="1287">
        <v>56</v>
      </c>
      <c r="AV23" s="1287">
        <v>2871</v>
      </c>
    </row>
    <row r="24" spans="1:48">
      <c r="A24" s="498">
        <v>15</v>
      </c>
      <c r="B24" s="1286">
        <v>627</v>
      </c>
      <c r="C24" s="1286">
        <v>40</v>
      </c>
      <c r="D24" s="1286">
        <v>41</v>
      </c>
      <c r="E24" s="1286">
        <v>78</v>
      </c>
      <c r="F24" s="1286">
        <v>31</v>
      </c>
      <c r="G24" s="1286">
        <v>13</v>
      </c>
      <c r="H24" s="1286">
        <v>57</v>
      </c>
      <c r="I24" s="1286">
        <v>53</v>
      </c>
      <c r="J24" s="1286">
        <v>38</v>
      </c>
      <c r="K24" s="1286">
        <v>51</v>
      </c>
      <c r="L24" s="1286">
        <v>29</v>
      </c>
      <c r="M24" s="1286">
        <v>51</v>
      </c>
      <c r="N24" s="1286">
        <v>48</v>
      </c>
      <c r="O24" s="1286">
        <v>29</v>
      </c>
      <c r="P24" s="1286">
        <v>1186</v>
      </c>
      <c r="Q24" s="498">
        <v>15</v>
      </c>
      <c r="R24" s="679">
        <v>321</v>
      </c>
      <c r="S24" s="679">
        <v>21</v>
      </c>
      <c r="T24" s="679">
        <v>22</v>
      </c>
      <c r="U24" s="679">
        <v>40</v>
      </c>
      <c r="V24" s="679">
        <v>17</v>
      </c>
      <c r="W24" s="679">
        <v>6</v>
      </c>
      <c r="X24" s="679">
        <v>31</v>
      </c>
      <c r="Y24" s="679">
        <v>28</v>
      </c>
      <c r="Z24" s="679">
        <v>23</v>
      </c>
      <c r="AA24" s="679">
        <v>32</v>
      </c>
      <c r="AB24" s="679">
        <v>12</v>
      </c>
      <c r="AC24" s="679">
        <v>24</v>
      </c>
      <c r="AD24" s="679">
        <v>23</v>
      </c>
      <c r="AE24" s="679">
        <v>13</v>
      </c>
      <c r="AF24" s="679">
        <v>613</v>
      </c>
      <c r="AG24" s="498">
        <v>15</v>
      </c>
      <c r="AH24" s="1287">
        <v>306</v>
      </c>
      <c r="AI24" s="1287">
        <v>19</v>
      </c>
      <c r="AJ24" s="1287">
        <v>19</v>
      </c>
      <c r="AK24" s="1287">
        <v>38</v>
      </c>
      <c r="AL24" s="1287">
        <v>14</v>
      </c>
      <c r="AM24" s="1287">
        <v>7</v>
      </c>
      <c r="AN24" s="1287">
        <v>26</v>
      </c>
      <c r="AO24" s="1287">
        <v>25</v>
      </c>
      <c r="AP24" s="1287">
        <v>15</v>
      </c>
      <c r="AQ24" s="1287">
        <v>19</v>
      </c>
      <c r="AR24" s="1287">
        <v>17</v>
      </c>
      <c r="AS24" s="1287">
        <v>27</v>
      </c>
      <c r="AT24" s="1287">
        <v>25</v>
      </c>
      <c r="AU24" s="1287">
        <v>16</v>
      </c>
      <c r="AV24" s="1287">
        <v>573</v>
      </c>
    </row>
    <row r="25" spans="1:48">
      <c r="A25" s="498">
        <v>16</v>
      </c>
      <c r="B25" s="1286">
        <v>673</v>
      </c>
      <c r="C25" s="1286">
        <v>50</v>
      </c>
      <c r="D25" s="1286">
        <v>35</v>
      </c>
      <c r="E25" s="1286">
        <v>88</v>
      </c>
      <c r="F25" s="1286">
        <v>27</v>
      </c>
      <c r="G25" s="1286">
        <v>27</v>
      </c>
      <c r="H25" s="1286">
        <v>57</v>
      </c>
      <c r="I25" s="1286">
        <v>47</v>
      </c>
      <c r="J25" s="1286">
        <v>33</v>
      </c>
      <c r="K25" s="1286">
        <v>58</v>
      </c>
      <c r="L25" s="1286">
        <v>50</v>
      </c>
      <c r="M25" s="1286">
        <v>75</v>
      </c>
      <c r="N25" s="1286">
        <v>36</v>
      </c>
      <c r="O25" s="1286">
        <v>29</v>
      </c>
      <c r="P25" s="1286">
        <v>1285</v>
      </c>
      <c r="Q25" s="498">
        <v>16</v>
      </c>
      <c r="R25" s="679">
        <v>324</v>
      </c>
      <c r="S25" s="679">
        <v>24</v>
      </c>
      <c r="T25" s="679">
        <v>14</v>
      </c>
      <c r="U25" s="679">
        <v>49</v>
      </c>
      <c r="V25" s="679">
        <v>12</v>
      </c>
      <c r="W25" s="679">
        <v>15</v>
      </c>
      <c r="X25" s="679">
        <v>30</v>
      </c>
      <c r="Y25" s="679">
        <v>28</v>
      </c>
      <c r="Z25" s="679">
        <v>17</v>
      </c>
      <c r="AA25" s="679">
        <v>23</v>
      </c>
      <c r="AB25" s="679">
        <v>28</v>
      </c>
      <c r="AC25" s="679">
        <v>41</v>
      </c>
      <c r="AD25" s="679">
        <v>16</v>
      </c>
      <c r="AE25" s="679">
        <v>13</v>
      </c>
      <c r="AF25" s="679">
        <v>634</v>
      </c>
      <c r="AG25" s="498">
        <v>16</v>
      </c>
      <c r="AH25" s="1287">
        <v>349</v>
      </c>
      <c r="AI25" s="1287">
        <v>26</v>
      </c>
      <c r="AJ25" s="1287">
        <v>21</v>
      </c>
      <c r="AK25" s="1287">
        <v>39</v>
      </c>
      <c r="AL25" s="1287">
        <v>15</v>
      </c>
      <c r="AM25" s="1287">
        <v>12</v>
      </c>
      <c r="AN25" s="1287">
        <v>27</v>
      </c>
      <c r="AO25" s="1287">
        <v>19</v>
      </c>
      <c r="AP25" s="1287">
        <v>16</v>
      </c>
      <c r="AQ25" s="1287">
        <v>35</v>
      </c>
      <c r="AR25" s="1287">
        <v>22</v>
      </c>
      <c r="AS25" s="1287">
        <v>34</v>
      </c>
      <c r="AT25" s="1287">
        <v>20</v>
      </c>
      <c r="AU25" s="1287">
        <v>16</v>
      </c>
      <c r="AV25" s="1287">
        <v>651</v>
      </c>
    </row>
    <row r="26" spans="1:48">
      <c r="A26" s="498">
        <v>17</v>
      </c>
      <c r="B26" s="1286">
        <v>713</v>
      </c>
      <c r="C26" s="1286">
        <v>66</v>
      </c>
      <c r="D26" s="1286">
        <v>41</v>
      </c>
      <c r="E26" s="1286">
        <v>82</v>
      </c>
      <c r="F26" s="1286">
        <v>29</v>
      </c>
      <c r="G26" s="1286">
        <v>25</v>
      </c>
      <c r="H26" s="1286">
        <v>51</v>
      </c>
      <c r="I26" s="1286">
        <v>50</v>
      </c>
      <c r="J26" s="1286">
        <v>52</v>
      </c>
      <c r="K26" s="1286">
        <v>65</v>
      </c>
      <c r="L26" s="1286">
        <v>28</v>
      </c>
      <c r="M26" s="1286">
        <v>73</v>
      </c>
      <c r="N26" s="1286">
        <v>49</v>
      </c>
      <c r="O26" s="1286">
        <v>32</v>
      </c>
      <c r="P26" s="1286">
        <v>1356</v>
      </c>
      <c r="Q26" s="498">
        <v>17</v>
      </c>
      <c r="R26" s="679">
        <v>359</v>
      </c>
      <c r="S26" s="679">
        <v>31</v>
      </c>
      <c r="T26" s="679">
        <v>19</v>
      </c>
      <c r="U26" s="679">
        <v>40</v>
      </c>
      <c r="V26" s="679">
        <v>19</v>
      </c>
      <c r="W26" s="679">
        <v>14</v>
      </c>
      <c r="X26" s="679">
        <v>24</v>
      </c>
      <c r="Y26" s="679">
        <v>21</v>
      </c>
      <c r="Z26" s="679">
        <v>30</v>
      </c>
      <c r="AA26" s="679">
        <v>33</v>
      </c>
      <c r="AB26" s="679">
        <v>14</v>
      </c>
      <c r="AC26" s="679">
        <v>39</v>
      </c>
      <c r="AD26" s="679">
        <v>28</v>
      </c>
      <c r="AE26" s="679">
        <v>15</v>
      </c>
      <c r="AF26" s="679">
        <v>686</v>
      </c>
      <c r="AG26" s="498">
        <v>17</v>
      </c>
      <c r="AH26" s="1287">
        <v>354</v>
      </c>
      <c r="AI26" s="1287">
        <v>35</v>
      </c>
      <c r="AJ26" s="1287">
        <v>22</v>
      </c>
      <c r="AK26" s="1287">
        <v>42</v>
      </c>
      <c r="AL26" s="1287">
        <v>10</v>
      </c>
      <c r="AM26" s="1287">
        <v>11</v>
      </c>
      <c r="AN26" s="1287">
        <v>27</v>
      </c>
      <c r="AO26" s="1287">
        <v>29</v>
      </c>
      <c r="AP26" s="1287">
        <v>22</v>
      </c>
      <c r="AQ26" s="1287">
        <v>32</v>
      </c>
      <c r="AR26" s="1287">
        <v>14</v>
      </c>
      <c r="AS26" s="1287">
        <v>34</v>
      </c>
      <c r="AT26" s="1287">
        <v>21</v>
      </c>
      <c r="AU26" s="1287">
        <v>17</v>
      </c>
      <c r="AV26" s="1287">
        <v>670</v>
      </c>
    </row>
    <row r="27" spans="1:48">
      <c r="A27" s="498">
        <v>18</v>
      </c>
      <c r="B27" s="1286">
        <v>739</v>
      </c>
      <c r="C27" s="1286">
        <v>51</v>
      </c>
      <c r="D27" s="1286">
        <v>45</v>
      </c>
      <c r="E27" s="1286">
        <v>90</v>
      </c>
      <c r="F27" s="1286">
        <v>33</v>
      </c>
      <c r="G27" s="1286">
        <v>31</v>
      </c>
      <c r="H27" s="1286">
        <v>69</v>
      </c>
      <c r="I27" s="1286">
        <v>36</v>
      </c>
      <c r="J27" s="1286">
        <v>39</v>
      </c>
      <c r="K27" s="1286">
        <v>38</v>
      </c>
      <c r="L27" s="1286">
        <v>35</v>
      </c>
      <c r="M27" s="1286">
        <v>79</v>
      </c>
      <c r="N27" s="1286">
        <v>47</v>
      </c>
      <c r="O27" s="1286">
        <v>33</v>
      </c>
      <c r="P27" s="1286">
        <v>1365</v>
      </c>
      <c r="Q27" s="498">
        <v>18</v>
      </c>
      <c r="R27" s="679">
        <v>390</v>
      </c>
      <c r="S27" s="679">
        <v>21</v>
      </c>
      <c r="T27" s="679">
        <v>24</v>
      </c>
      <c r="U27" s="679">
        <v>50</v>
      </c>
      <c r="V27" s="679">
        <v>15</v>
      </c>
      <c r="W27" s="679">
        <v>17</v>
      </c>
      <c r="X27" s="679">
        <v>35</v>
      </c>
      <c r="Y27" s="679">
        <v>15</v>
      </c>
      <c r="Z27" s="679">
        <v>18</v>
      </c>
      <c r="AA27" s="679">
        <v>20</v>
      </c>
      <c r="AB27" s="679">
        <v>15</v>
      </c>
      <c r="AC27" s="679">
        <v>46</v>
      </c>
      <c r="AD27" s="679">
        <v>23</v>
      </c>
      <c r="AE27" s="679">
        <v>16</v>
      </c>
      <c r="AF27" s="679">
        <v>705</v>
      </c>
      <c r="AG27" s="498">
        <v>18</v>
      </c>
      <c r="AH27" s="1287">
        <v>349</v>
      </c>
      <c r="AI27" s="1287">
        <v>30</v>
      </c>
      <c r="AJ27" s="1287">
        <v>21</v>
      </c>
      <c r="AK27" s="1287">
        <v>40</v>
      </c>
      <c r="AL27" s="1287">
        <v>18</v>
      </c>
      <c r="AM27" s="1287">
        <v>14</v>
      </c>
      <c r="AN27" s="1287">
        <v>34</v>
      </c>
      <c r="AO27" s="1287">
        <v>21</v>
      </c>
      <c r="AP27" s="1287">
        <v>21</v>
      </c>
      <c r="AQ27" s="1287">
        <v>18</v>
      </c>
      <c r="AR27" s="1287">
        <v>20</v>
      </c>
      <c r="AS27" s="1287">
        <v>33</v>
      </c>
      <c r="AT27" s="1287">
        <v>24</v>
      </c>
      <c r="AU27" s="1287">
        <v>17</v>
      </c>
      <c r="AV27" s="1287">
        <v>660</v>
      </c>
    </row>
    <row r="28" spans="1:48">
      <c r="A28" s="498">
        <v>19</v>
      </c>
      <c r="B28" s="1286">
        <v>709</v>
      </c>
      <c r="C28" s="1286">
        <v>72</v>
      </c>
      <c r="D28" s="1286">
        <v>38</v>
      </c>
      <c r="E28" s="1286">
        <v>90</v>
      </c>
      <c r="F28" s="1286">
        <v>39</v>
      </c>
      <c r="G28" s="1286">
        <v>27</v>
      </c>
      <c r="H28" s="1286">
        <v>56</v>
      </c>
      <c r="I28" s="1286">
        <v>33</v>
      </c>
      <c r="J28" s="1286">
        <v>46</v>
      </c>
      <c r="K28" s="1286">
        <v>45</v>
      </c>
      <c r="L28" s="1286">
        <v>40</v>
      </c>
      <c r="M28" s="1286">
        <v>61</v>
      </c>
      <c r="N28" s="1286">
        <v>48</v>
      </c>
      <c r="O28" s="1286">
        <v>33</v>
      </c>
      <c r="P28" s="1286">
        <v>1337</v>
      </c>
      <c r="Q28" s="498">
        <v>19</v>
      </c>
      <c r="R28" s="679">
        <v>348</v>
      </c>
      <c r="S28" s="679">
        <v>36</v>
      </c>
      <c r="T28" s="679">
        <v>21</v>
      </c>
      <c r="U28" s="679">
        <v>49</v>
      </c>
      <c r="V28" s="679">
        <v>15</v>
      </c>
      <c r="W28" s="679">
        <v>8</v>
      </c>
      <c r="X28" s="679">
        <v>24</v>
      </c>
      <c r="Y28" s="679">
        <v>13</v>
      </c>
      <c r="Z28" s="679">
        <v>25</v>
      </c>
      <c r="AA28" s="679">
        <v>20</v>
      </c>
      <c r="AB28" s="679">
        <v>23</v>
      </c>
      <c r="AC28" s="679">
        <v>33</v>
      </c>
      <c r="AD28" s="679">
        <v>21</v>
      </c>
      <c r="AE28" s="679">
        <v>19</v>
      </c>
      <c r="AF28" s="679">
        <v>655</v>
      </c>
      <c r="AG28" s="498">
        <v>19</v>
      </c>
      <c r="AH28" s="1287">
        <v>361</v>
      </c>
      <c r="AI28" s="1287">
        <v>36</v>
      </c>
      <c r="AJ28" s="1287">
        <v>17</v>
      </c>
      <c r="AK28" s="1287">
        <v>41</v>
      </c>
      <c r="AL28" s="1287">
        <v>24</v>
      </c>
      <c r="AM28" s="1287">
        <v>19</v>
      </c>
      <c r="AN28" s="1287">
        <v>32</v>
      </c>
      <c r="AO28" s="1287">
        <v>20</v>
      </c>
      <c r="AP28" s="1287">
        <v>21</v>
      </c>
      <c r="AQ28" s="1287">
        <v>25</v>
      </c>
      <c r="AR28" s="1287">
        <v>17</v>
      </c>
      <c r="AS28" s="1287">
        <v>28</v>
      </c>
      <c r="AT28" s="1287">
        <v>27</v>
      </c>
      <c r="AU28" s="1287">
        <v>14</v>
      </c>
      <c r="AV28" s="1287">
        <v>682</v>
      </c>
    </row>
    <row r="29" spans="1:48">
      <c r="A29" s="1288" t="s">
        <v>2326</v>
      </c>
      <c r="B29" s="1286">
        <v>3461</v>
      </c>
      <c r="C29" s="1286">
        <v>279</v>
      </c>
      <c r="D29" s="1286">
        <v>200</v>
      </c>
      <c r="E29" s="1286">
        <v>428</v>
      </c>
      <c r="F29" s="1286">
        <v>159</v>
      </c>
      <c r="G29" s="1286">
        <v>123</v>
      </c>
      <c r="H29" s="1286">
        <v>290</v>
      </c>
      <c r="I29" s="1286">
        <v>219</v>
      </c>
      <c r="J29" s="1286">
        <v>208</v>
      </c>
      <c r="K29" s="1286">
        <v>257</v>
      </c>
      <c r="L29" s="1286">
        <v>182</v>
      </c>
      <c r="M29" s="1286">
        <v>339</v>
      </c>
      <c r="N29" s="1286">
        <v>228</v>
      </c>
      <c r="O29" s="1286">
        <v>156</v>
      </c>
      <c r="P29" s="1286">
        <v>6529</v>
      </c>
      <c r="Q29" s="1288" t="s">
        <v>2326</v>
      </c>
      <c r="R29" s="679">
        <v>1742</v>
      </c>
      <c r="S29" s="679">
        <v>133</v>
      </c>
      <c r="T29" s="679">
        <v>100</v>
      </c>
      <c r="U29" s="679">
        <v>228</v>
      </c>
      <c r="V29" s="679">
        <v>78</v>
      </c>
      <c r="W29" s="679">
        <v>60</v>
      </c>
      <c r="X29" s="679">
        <v>144</v>
      </c>
      <c r="Y29" s="679">
        <v>105</v>
      </c>
      <c r="Z29" s="679">
        <v>113</v>
      </c>
      <c r="AA29" s="679">
        <v>128</v>
      </c>
      <c r="AB29" s="679">
        <v>92</v>
      </c>
      <c r="AC29" s="679">
        <v>183</v>
      </c>
      <c r="AD29" s="679">
        <v>111</v>
      </c>
      <c r="AE29" s="679">
        <v>76</v>
      </c>
      <c r="AF29" s="679">
        <v>3293</v>
      </c>
      <c r="AG29" s="1288" t="s">
        <v>2326</v>
      </c>
      <c r="AH29" s="1287">
        <v>1719</v>
      </c>
      <c r="AI29" s="1287">
        <v>146</v>
      </c>
      <c r="AJ29" s="1287">
        <v>100</v>
      </c>
      <c r="AK29" s="1287">
        <v>200</v>
      </c>
      <c r="AL29" s="1287">
        <v>81</v>
      </c>
      <c r="AM29" s="1287">
        <v>63</v>
      </c>
      <c r="AN29" s="1287">
        <v>146</v>
      </c>
      <c r="AO29" s="1287">
        <v>114</v>
      </c>
      <c r="AP29" s="1287">
        <v>95</v>
      </c>
      <c r="AQ29" s="1287">
        <v>129</v>
      </c>
      <c r="AR29" s="1287">
        <v>90</v>
      </c>
      <c r="AS29" s="1287">
        <v>156</v>
      </c>
      <c r="AT29" s="1287">
        <v>117</v>
      </c>
      <c r="AU29" s="1287">
        <v>80</v>
      </c>
      <c r="AV29" s="1287">
        <v>3236</v>
      </c>
    </row>
    <row r="30" spans="1:48">
      <c r="A30" s="498">
        <v>20</v>
      </c>
      <c r="B30" s="1286">
        <v>912</v>
      </c>
      <c r="C30" s="1286">
        <v>61</v>
      </c>
      <c r="D30" s="1286">
        <v>44</v>
      </c>
      <c r="E30" s="1286">
        <v>120</v>
      </c>
      <c r="F30" s="1286">
        <v>35</v>
      </c>
      <c r="G30" s="1286">
        <v>31</v>
      </c>
      <c r="H30" s="1286">
        <v>69</v>
      </c>
      <c r="I30" s="1286">
        <v>50</v>
      </c>
      <c r="J30" s="1286">
        <v>62</v>
      </c>
      <c r="K30" s="1286">
        <v>56</v>
      </c>
      <c r="L30" s="1286">
        <v>44</v>
      </c>
      <c r="M30" s="1286">
        <v>69</v>
      </c>
      <c r="N30" s="1286">
        <v>77</v>
      </c>
      <c r="O30" s="1286">
        <v>25</v>
      </c>
      <c r="P30" s="1286">
        <v>1655</v>
      </c>
      <c r="Q30" s="498">
        <v>20</v>
      </c>
      <c r="R30" s="679">
        <v>482</v>
      </c>
      <c r="S30" s="679">
        <v>30</v>
      </c>
      <c r="T30" s="679">
        <v>23</v>
      </c>
      <c r="U30" s="679">
        <v>61</v>
      </c>
      <c r="V30" s="679">
        <v>22</v>
      </c>
      <c r="W30" s="679">
        <v>13</v>
      </c>
      <c r="X30" s="679">
        <v>42</v>
      </c>
      <c r="Y30" s="679">
        <v>31</v>
      </c>
      <c r="Z30" s="679">
        <v>28</v>
      </c>
      <c r="AA30" s="679">
        <v>28</v>
      </c>
      <c r="AB30" s="679">
        <v>22</v>
      </c>
      <c r="AC30" s="679">
        <v>37</v>
      </c>
      <c r="AD30" s="679">
        <v>39</v>
      </c>
      <c r="AE30" s="679">
        <v>14</v>
      </c>
      <c r="AF30" s="679">
        <v>872</v>
      </c>
      <c r="AG30" s="498">
        <v>20</v>
      </c>
      <c r="AH30" s="1287">
        <v>430</v>
      </c>
      <c r="AI30" s="1287">
        <v>31</v>
      </c>
      <c r="AJ30" s="1287">
        <v>21</v>
      </c>
      <c r="AK30" s="1287">
        <v>59</v>
      </c>
      <c r="AL30" s="1287">
        <v>13</v>
      </c>
      <c r="AM30" s="1287">
        <v>18</v>
      </c>
      <c r="AN30" s="1287">
        <v>27</v>
      </c>
      <c r="AO30" s="1287">
        <v>19</v>
      </c>
      <c r="AP30" s="1287">
        <v>34</v>
      </c>
      <c r="AQ30" s="1287">
        <v>28</v>
      </c>
      <c r="AR30" s="1287">
        <v>22</v>
      </c>
      <c r="AS30" s="1287">
        <v>32</v>
      </c>
      <c r="AT30" s="1287">
        <v>38</v>
      </c>
      <c r="AU30" s="1287">
        <v>11</v>
      </c>
      <c r="AV30" s="1287">
        <v>783</v>
      </c>
    </row>
    <row r="31" spans="1:48">
      <c r="A31" s="498">
        <v>21</v>
      </c>
      <c r="B31" s="1286">
        <v>958</v>
      </c>
      <c r="C31" s="1286">
        <v>76</v>
      </c>
      <c r="D31" s="1286">
        <v>42</v>
      </c>
      <c r="E31" s="1286">
        <v>98</v>
      </c>
      <c r="F31" s="1286">
        <v>46</v>
      </c>
      <c r="G31" s="1286">
        <v>26</v>
      </c>
      <c r="H31" s="1286">
        <v>74</v>
      </c>
      <c r="I31" s="1286">
        <v>55</v>
      </c>
      <c r="J31" s="1286">
        <v>52</v>
      </c>
      <c r="K31" s="1286">
        <v>56</v>
      </c>
      <c r="L31" s="1286">
        <v>31</v>
      </c>
      <c r="M31" s="1286">
        <v>65</v>
      </c>
      <c r="N31" s="1286">
        <v>77</v>
      </c>
      <c r="O31" s="1286">
        <v>24</v>
      </c>
      <c r="P31" s="1286">
        <v>1680</v>
      </c>
      <c r="Q31" s="498">
        <v>21</v>
      </c>
      <c r="R31" s="679">
        <v>443</v>
      </c>
      <c r="S31" s="679">
        <v>37</v>
      </c>
      <c r="T31" s="679">
        <v>28</v>
      </c>
      <c r="U31" s="679">
        <v>43</v>
      </c>
      <c r="V31" s="679">
        <v>22</v>
      </c>
      <c r="W31" s="679">
        <v>13</v>
      </c>
      <c r="X31" s="679">
        <v>35</v>
      </c>
      <c r="Y31" s="679">
        <v>33</v>
      </c>
      <c r="Z31" s="679">
        <v>26</v>
      </c>
      <c r="AA31" s="679">
        <v>39</v>
      </c>
      <c r="AB31" s="679">
        <v>18</v>
      </c>
      <c r="AC31" s="679">
        <v>37</v>
      </c>
      <c r="AD31" s="679">
        <v>39</v>
      </c>
      <c r="AE31" s="679">
        <v>16</v>
      </c>
      <c r="AF31" s="679">
        <v>829</v>
      </c>
      <c r="AG31" s="498">
        <v>21</v>
      </c>
      <c r="AH31" s="1287">
        <v>515</v>
      </c>
      <c r="AI31" s="1287">
        <v>39</v>
      </c>
      <c r="AJ31" s="1287">
        <v>14</v>
      </c>
      <c r="AK31" s="1287">
        <v>55</v>
      </c>
      <c r="AL31" s="1287">
        <v>24</v>
      </c>
      <c r="AM31" s="1287">
        <v>13</v>
      </c>
      <c r="AN31" s="1287">
        <v>39</v>
      </c>
      <c r="AO31" s="1287">
        <v>22</v>
      </c>
      <c r="AP31" s="1287">
        <v>26</v>
      </c>
      <c r="AQ31" s="1287">
        <v>17</v>
      </c>
      <c r="AR31" s="1287">
        <v>13</v>
      </c>
      <c r="AS31" s="1287">
        <v>28</v>
      </c>
      <c r="AT31" s="1287">
        <v>38</v>
      </c>
      <c r="AU31" s="1287">
        <v>8</v>
      </c>
      <c r="AV31" s="1287">
        <v>851</v>
      </c>
    </row>
    <row r="32" spans="1:48">
      <c r="A32" s="498">
        <v>22</v>
      </c>
      <c r="B32" s="1286">
        <v>1064</v>
      </c>
      <c r="C32" s="1286">
        <v>89</v>
      </c>
      <c r="D32" s="1286">
        <v>49</v>
      </c>
      <c r="E32" s="1286">
        <v>88</v>
      </c>
      <c r="F32" s="1286">
        <v>40</v>
      </c>
      <c r="G32" s="1286">
        <v>30</v>
      </c>
      <c r="H32" s="1286">
        <v>74</v>
      </c>
      <c r="I32" s="1286">
        <v>55</v>
      </c>
      <c r="J32" s="1286">
        <v>46</v>
      </c>
      <c r="K32" s="1286">
        <v>70</v>
      </c>
      <c r="L32" s="1286">
        <v>44</v>
      </c>
      <c r="M32" s="1286">
        <v>86</v>
      </c>
      <c r="N32" s="1286">
        <v>64</v>
      </c>
      <c r="O32" s="1286">
        <v>41</v>
      </c>
      <c r="P32" s="1286">
        <v>1840</v>
      </c>
      <c r="Q32" s="498">
        <v>22</v>
      </c>
      <c r="R32" s="679">
        <v>532</v>
      </c>
      <c r="S32" s="679">
        <v>50</v>
      </c>
      <c r="T32" s="679">
        <v>22</v>
      </c>
      <c r="U32" s="679">
        <v>44</v>
      </c>
      <c r="V32" s="679">
        <v>21</v>
      </c>
      <c r="W32" s="679">
        <v>20</v>
      </c>
      <c r="X32" s="679">
        <v>39</v>
      </c>
      <c r="Y32" s="679">
        <v>35</v>
      </c>
      <c r="Z32" s="679">
        <v>23</v>
      </c>
      <c r="AA32" s="679">
        <v>42</v>
      </c>
      <c r="AB32" s="679">
        <v>22</v>
      </c>
      <c r="AC32" s="679">
        <v>48</v>
      </c>
      <c r="AD32" s="679">
        <v>31</v>
      </c>
      <c r="AE32" s="679">
        <v>25</v>
      </c>
      <c r="AF32" s="679">
        <v>954</v>
      </c>
      <c r="AG32" s="498">
        <v>22</v>
      </c>
      <c r="AH32" s="1287">
        <v>532</v>
      </c>
      <c r="AI32" s="1287">
        <v>39</v>
      </c>
      <c r="AJ32" s="1287">
        <v>27</v>
      </c>
      <c r="AK32" s="1287">
        <v>44</v>
      </c>
      <c r="AL32" s="1287">
        <v>19</v>
      </c>
      <c r="AM32" s="1287">
        <v>10</v>
      </c>
      <c r="AN32" s="1287">
        <v>35</v>
      </c>
      <c r="AO32" s="1287">
        <v>20</v>
      </c>
      <c r="AP32" s="1287">
        <v>23</v>
      </c>
      <c r="AQ32" s="1287">
        <v>28</v>
      </c>
      <c r="AR32" s="1287">
        <v>22</v>
      </c>
      <c r="AS32" s="1287">
        <v>38</v>
      </c>
      <c r="AT32" s="1287">
        <v>33</v>
      </c>
      <c r="AU32" s="1287">
        <v>16</v>
      </c>
      <c r="AV32" s="1287">
        <v>886</v>
      </c>
    </row>
    <row r="33" spans="1:48">
      <c r="A33" s="498">
        <v>23</v>
      </c>
      <c r="B33" s="1286">
        <v>1056</v>
      </c>
      <c r="C33" s="1286">
        <v>77</v>
      </c>
      <c r="D33" s="1286">
        <v>56</v>
      </c>
      <c r="E33" s="1286">
        <v>91</v>
      </c>
      <c r="F33" s="1286">
        <v>32</v>
      </c>
      <c r="G33" s="1286">
        <v>33</v>
      </c>
      <c r="H33" s="1286">
        <v>75</v>
      </c>
      <c r="I33" s="1286">
        <v>61</v>
      </c>
      <c r="J33" s="1286">
        <v>51</v>
      </c>
      <c r="K33" s="1286">
        <v>79</v>
      </c>
      <c r="L33" s="1286">
        <v>43</v>
      </c>
      <c r="M33" s="1286">
        <v>72</v>
      </c>
      <c r="N33" s="1286">
        <v>72</v>
      </c>
      <c r="O33" s="1286">
        <v>28</v>
      </c>
      <c r="P33" s="1286">
        <v>1826</v>
      </c>
      <c r="Q33" s="498">
        <v>23</v>
      </c>
      <c r="R33" s="679">
        <v>562</v>
      </c>
      <c r="S33" s="679">
        <v>41</v>
      </c>
      <c r="T33" s="679">
        <v>27</v>
      </c>
      <c r="U33" s="679">
        <v>51</v>
      </c>
      <c r="V33" s="679">
        <v>21</v>
      </c>
      <c r="W33" s="679">
        <v>15</v>
      </c>
      <c r="X33" s="679">
        <v>43</v>
      </c>
      <c r="Y33" s="679">
        <v>29</v>
      </c>
      <c r="Z33" s="679">
        <v>32</v>
      </c>
      <c r="AA33" s="679">
        <v>51</v>
      </c>
      <c r="AB33" s="679">
        <v>28</v>
      </c>
      <c r="AC33" s="679">
        <v>38</v>
      </c>
      <c r="AD33" s="679">
        <v>39</v>
      </c>
      <c r="AE33" s="679">
        <v>14</v>
      </c>
      <c r="AF33" s="679">
        <v>991</v>
      </c>
      <c r="AG33" s="498">
        <v>23</v>
      </c>
      <c r="AH33" s="1287">
        <v>494</v>
      </c>
      <c r="AI33" s="1287">
        <v>36</v>
      </c>
      <c r="AJ33" s="1287">
        <v>29</v>
      </c>
      <c r="AK33" s="1287">
        <v>40</v>
      </c>
      <c r="AL33" s="1287">
        <v>11</v>
      </c>
      <c r="AM33" s="1287">
        <v>18</v>
      </c>
      <c r="AN33" s="1287">
        <v>32</v>
      </c>
      <c r="AO33" s="1287">
        <v>32</v>
      </c>
      <c r="AP33" s="1287">
        <v>19</v>
      </c>
      <c r="AQ33" s="1287">
        <v>28</v>
      </c>
      <c r="AR33" s="1287">
        <v>15</v>
      </c>
      <c r="AS33" s="1287">
        <v>34</v>
      </c>
      <c r="AT33" s="1287">
        <v>33</v>
      </c>
      <c r="AU33" s="1287">
        <v>14</v>
      </c>
      <c r="AV33" s="1287">
        <v>835</v>
      </c>
    </row>
    <row r="34" spans="1:48">
      <c r="A34" s="498">
        <v>24</v>
      </c>
      <c r="B34" s="1286">
        <v>900</v>
      </c>
      <c r="C34" s="1286">
        <v>82</v>
      </c>
      <c r="D34" s="1286">
        <v>50</v>
      </c>
      <c r="E34" s="1286">
        <v>91</v>
      </c>
      <c r="F34" s="1286">
        <v>42</v>
      </c>
      <c r="G34" s="1286">
        <v>26</v>
      </c>
      <c r="H34" s="1286">
        <v>83</v>
      </c>
      <c r="I34" s="1286">
        <v>66</v>
      </c>
      <c r="J34" s="1286">
        <v>42</v>
      </c>
      <c r="K34" s="1286">
        <v>75</v>
      </c>
      <c r="L34" s="1286">
        <v>42</v>
      </c>
      <c r="M34" s="1286">
        <v>73</v>
      </c>
      <c r="N34" s="1286">
        <v>60</v>
      </c>
      <c r="O34" s="1286">
        <v>30</v>
      </c>
      <c r="P34" s="1286">
        <v>1662</v>
      </c>
      <c r="Q34" s="498">
        <v>24</v>
      </c>
      <c r="R34" s="679">
        <v>406</v>
      </c>
      <c r="S34" s="679">
        <v>39</v>
      </c>
      <c r="T34" s="679">
        <v>24</v>
      </c>
      <c r="U34" s="679">
        <v>53</v>
      </c>
      <c r="V34" s="679">
        <v>23</v>
      </c>
      <c r="W34" s="679">
        <v>14</v>
      </c>
      <c r="X34" s="679">
        <v>37</v>
      </c>
      <c r="Y34" s="679">
        <v>32</v>
      </c>
      <c r="Z34" s="679">
        <v>27</v>
      </c>
      <c r="AA34" s="679">
        <v>41</v>
      </c>
      <c r="AB34" s="679">
        <v>24</v>
      </c>
      <c r="AC34" s="679">
        <v>37</v>
      </c>
      <c r="AD34" s="679">
        <v>38</v>
      </c>
      <c r="AE34" s="679">
        <v>15</v>
      </c>
      <c r="AF34" s="679">
        <v>810</v>
      </c>
      <c r="AG34" s="498">
        <v>24</v>
      </c>
      <c r="AH34" s="1287">
        <v>494</v>
      </c>
      <c r="AI34" s="1287">
        <v>43</v>
      </c>
      <c r="AJ34" s="1287">
        <v>26</v>
      </c>
      <c r="AK34" s="1287">
        <v>38</v>
      </c>
      <c r="AL34" s="1287">
        <v>19</v>
      </c>
      <c r="AM34" s="1287">
        <v>12</v>
      </c>
      <c r="AN34" s="1287">
        <v>46</v>
      </c>
      <c r="AO34" s="1287">
        <v>34</v>
      </c>
      <c r="AP34" s="1287">
        <v>15</v>
      </c>
      <c r="AQ34" s="1287">
        <v>34</v>
      </c>
      <c r="AR34" s="1287">
        <v>18</v>
      </c>
      <c r="AS34" s="1287">
        <v>36</v>
      </c>
      <c r="AT34" s="1287">
        <v>22</v>
      </c>
      <c r="AU34" s="1287">
        <v>15</v>
      </c>
      <c r="AV34" s="1287">
        <v>852</v>
      </c>
    </row>
    <row r="35" spans="1:48">
      <c r="A35" s="498" t="s">
        <v>2327</v>
      </c>
      <c r="B35" s="1286">
        <v>4890</v>
      </c>
      <c r="C35" s="1286">
        <v>385</v>
      </c>
      <c r="D35" s="1286">
        <v>241</v>
      </c>
      <c r="E35" s="1286">
        <v>488</v>
      </c>
      <c r="F35" s="1286">
        <v>195</v>
      </c>
      <c r="G35" s="1286">
        <v>146</v>
      </c>
      <c r="H35" s="1286">
        <v>375</v>
      </c>
      <c r="I35" s="1286">
        <v>287</v>
      </c>
      <c r="J35" s="1286">
        <v>253</v>
      </c>
      <c r="K35" s="1286">
        <v>336</v>
      </c>
      <c r="L35" s="1286">
        <v>204</v>
      </c>
      <c r="M35" s="1286">
        <v>365</v>
      </c>
      <c r="N35" s="1286">
        <v>350</v>
      </c>
      <c r="O35" s="1286">
        <v>148</v>
      </c>
      <c r="P35" s="1286">
        <v>8663</v>
      </c>
      <c r="Q35" s="498" t="s">
        <v>2327</v>
      </c>
      <c r="R35" s="679">
        <v>2425</v>
      </c>
      <c r="S35" s="679">
        <v>197</v>
      </c>
      <c r="T35" s="679">
        <v>124</v>
      </c>
      <c r="U35" s="679">
        <v>252</v>
      </c>
      <c r="V35" s="679">
        <v>109</v>
      </c>
      <c r="W35" s="679">
        <v>75</v>
      </c>
      <c r="X35" s="679">
        <v>196</v>
      </c>
      <c r="Y35" s="679">
        <v>160</v>
      </c>
      <c r="Z35" s="679">
        <v>136</v>
      </c>
      <c r="AA35" s="679">
        <v>201</v>
      </c>
      <c r="AB35" s="679">
        <v>114</v>
      </c>
      <c r="AC35" s="679">
        <v>197</v>
      </c>
      <c r="AD35" s="679">
        <v>186</v>
      </c>
      <c r="AE35" s="679">
        <v>84</v>
      </c>
      <c r="AF35" s="679">
        <v>4456</v>
      </c>
      <c r="AG35" s="498" t="s">
        <v>2327</v>
      </c>
      <c r="AH35" s="1287">
        <v>2465</v>
      </c>
      <c r="AI35" s="1287">
        <v>188</v>
      </c>
      <c r="AJ35" s="1287">
        <v>117</v>
      </c>
      <c r="AK35" s="1287">
        <v>236</v>
      </c>
      <c r="AL35" s="1287">
        <v>86</v>
      </c>
      <c r="AM35" s="1287">
        <v>71</v>
      </c>
      <c r="AN35" s="1287">
        <v>179</v>
      </c>
      <c r="AO35" s="1287">
        <v>127</v>
      </c>
      <c r="AP35" s="1287">
        <v>117</v>
      </c>
      <c r="AQ35" s="1287">
        <v>135</v>
      </c>
      <c r="AR35" s="1287">
        <v>90</v>
      </c>
      <c r="AS35" s="1287">
        <v>168</v>
      </c>
      <c r="AT35" s="1287">
        <v>164</v>
      </c>
      <c r="AU35" s="1287">
        <v>64</v>
      </c>
      <c r="AV35" s="1287">
        <v>4207</v>
      </c>
    </row>
    <row r="36" spans="1:48">
      <c r="A36" s="498">
        <v>25</v>
      </c>
      <c r="B36" s="1286">
        <v>972</v>
      </c>
      <c r="C36" s="1286">
        <v>49</v>
      </c>
      <c r="D36" s="1286">
        <v>45</v>
      </c>
      <c r="E36" s="1286">
        <v>88</v>
      </c>
      <c r="F36" s="1286">
        <v>31</v>
      </c>
      <c r="G36" s="1286">
        <v>34</v>
      </c>
      <c r="H36" s="1286">
        <v>72</v>
      </c>
      <c r="I36" s="1286">
        <v>58</v>
      </c>
      <c r="J36" s="1286">
        <v>38</v>
      </c>
      <c r="K36" s="1286">
        <v>62</v>
      </c>
      <c r="L36" s="1286">
        <v>43</v>
      </c>
      <c r="M36" s="1286">
        <v>52</v>
      </c>
      <c r="N36" s="1286">
        <v>46</v>
      </c>
      <c r="O36" s="1286">
        <v>33</v>
      </c>
      <c r="P36" s="1286">
        <v>1623</v>
      </c>
      <c r="Q36" s="498">
        <v>25</v>
      </c>
      <c r="R36" s="679">
        <v>489</v>
      </c>
      <c r="S36" s="679">
        <v>24</v>
      </c>
      <c r="T36" s="679">
        <v>22</v>
      </c>
      <c r="U36" s="679">
        <v>58</v>
      </c>
      <c r="V36" s="679">
        <v>17</v>
      </c>
      <c r="W36" s="679">
        <v>22</v>
      </c>
      <c r="X36" s="679">
        <v>43</v>
      </c>
      <c r="Y36" s="679">
        <v>29</v>
      </c>
      <c r="Z36" s="679">
        <v>22</v>
      </c>
      <c r="AA36" s="679">
        <v>35</v>
      </c>
      <c r="AB36" s="679">
        <v>26</v>
      </c>
      <c r="AC36" s="679">
        <v>30</v>
      </c>
      <c r="AD36" s="679">
        <v>27</v>
      </c>
      <c r="AE36" s="679">
        <v>19</v>
      </c>
      <c r="AF36" s="679">
        <v>863</v>
      </c>
      <c r="AG36" s="498">
        <v>25</v>
      </c>
      <c r="AH36" s="1287">
        <v>483</v>
      </c>
      <c r="AI36" s="1287">
        <v>25</v>
      </c>
      <c r="AJ36" s="1287">
        <v>23</v>
      </c>
      <c r="AK36" s="1287">
        <v>30</v>
      </c>
      <c r="AL36" s="1287">
        <v>14</v>
      </c>
      <c r="AM36" s="1287">
        <v>12</v>
      </c>
      <c r="AN36" s="1287">
        <v>29</v>
      </c>
      <c r="AO36" s="1287">
        <v>29</v>
      </c>
      <c r="AP36" s="1287">
        <v>16</v>
      </c>
      <c r="AQ36" s="1287">
        <v>27</v>
      </c>
      <c r="AR36" s="1287">
        <v>17</v>
      </c>
      <c r="AS36" s="1287">
        <v>22</v>
      </c>
      <c r="AT36" s="1287">
        <v>19</v>
      </c>
      <c r="AU36" s="1287">
        <v>14</v>
      </c>
      <c r="AV36" s="1287">
        <v>760</v>
      </c>
    </row>
    <row r="37" spans="1:48">
      <c r="A37" s="498">
        <v>26</v>
      </c>
      <c r="B37" s="1286">
        <v>923</v>
      </c>
      <c r="C37" s="1286">
        <v>58</v>
      </c>
      <c r="D37" s="1286">
        <v>39</v>
      </c>
      <c r="E37" s="1286">
        <v>83</v>
      </c>
      <c r="F37" s="1286">
        <v>34</v>
      </c>
      <c r="G37" s="1286">
        <v>34</v>
      </c>
      <c r="H37" s="1286">
        <v>71</v>
      </c>
      <c r="I37" s="1286">
        <v>68</v>
      </c>
      <c r="J37" s="1286">
        <v>38</v>
      </c>
      <c r="K37" s="1286">
        <v>80</v>
      </c>
      <c r="L37" s="1286">
        <v>49</v>
      </c>
      <c r="M37" s="1286">
        <v>70</v>
      </c>
      <c r="N37" s="1286">
        <v>54</v>
      </c>
      <c r="O37" s="1286">
        <v>24</v>
      </c>
      <c r="P37" s="1286">
        <v>1625</v>
      </c>
      <c r="Q37" s="498">
        <v>26</v>
      </c>
      <c r="R37" s="679">
        <v>476</v>
      </c>
      <c r="S37" s="679">
        <v>32</v>
      </c>
      <c r="T37" s="679">
        <v>24</v>
      </c>
      <c r="U37" s="679">
        <v>50</v>
      </c>
      <c r="V37" s="679">
        <v>17</v>
      </c>
      <c r="W37" s="679">
        <v>19</v>
      </c>
      <c r="X37" s="679">
        <v>39</v>
      </c>
      <c r="Y37" s="679">
        <v>33</v>
      </c>
      <c r="Z37" s="679">
        <v>20</v>
      </c>
      <c r="AA37" s="679">
        <v>43</v>
      </c>
      <c r="AB37" s="679">
        <v>26</v>
      </c>
      <c r="AC37" s="679">
        <v>45</v>
      </c>
      <c r="AD37" s="679">
        <v>30</v>
      </c>
      <c r="AE37" s="679">
        <v>12</v>
      </c>
      <c r="AF37" s="679">
        <v>866</v>
      </c>
      <c r="AG37" s="498">
        <v>26</v>
      </c>
      <c r="AH37" s="1287">
        <v>447</v>
      </c>
      <c r="AI37" s="1287">
        <v>26</v>
      </c>
      <c r="AJ37" s="1287">
        <v>15</v>
      </c>
      <c r="AK37" s="1287">
        <v>33</v>
      </c>
      <c r="AL37" s="1287">
        <v>17</v>
      </c>
      <c r="AM37" s="1287">
        <v>15</v>
      </c>
      <c r="AN37" s="1287">
        <v>32</v>
      </c>
      <c r="AO37" s="1287">
        <v>35</v>
      </c>
      <c r="AP37" s="1287">
        <v>18</v>
      </c>
      <c r="AQ37" s="1287">
        <v>37</v>
      </c>
      <c r="AR37" s="1287">
        <v>23</v>
      </c>
      <c r="AS37" s="1287">
        <v>25</v>
      </c>
      <c r="AT37" s="1287">
        <v>24</v>
      </c>
      <c r="AU37" s="1287">
        <v>12</v>
      </c>
      <c r="AV37" s="1287">
        <v>759</v>
      </c>
    </row>
    <row r="38" spans="1:48">
      <c r="A38" s="498">
        <v>27</v>
      </c>
      <c r="B38" s="1286">
        <v>850</v>
      </c>
      <c r="C38" s="1286">
        <v>66</v>
      </c>
      <c r="D38" s="1286">
        <v>41</v>
      </c>
      <c r="E38" s="1286">
        <v>74</v>
      </c>
      <c r="F38" s="1286">
        <v>33</v>
      </c>
      <c r="G38" s="1286">
        <v>37</v>
      </c>
      <c r="H38" s="1286">
        <v>74</v>
      </c>
      <c r="I38" s="1286">
        <v>59</v>
      </c>
      <c r="J38" s="1286">
        <v>47</v>
      </c>
      <c r="K38" s="1286">
        <v>67</v>
      </c>
      <c r="L38" s="1286">
        <v>33</v>
      </c>
      <c r="M38" s="1286">
        <v>78</v>
      </c>
      <c r="N38" s="1286">
        <v>55</v>
      </c>
      <c r="O38" s="1286">
        <v>24</v>
      </c>
      <c r="P38" s="1286">
        <v>1538</v>
      </c>
      <c r="Q38" s="498">
        <v>27</v>
      </c>
      <c r="R38" s="679">
        <v>427</v>
      </c>
      <c r="S38" s="679">
        <v>46</v>
      </c>
      <c r="T38" s="679">
        <v>21</v>
      </c>
      <c r="U38" s="679">
        <v>41</v>
      </c>
      <c r="V38" s="679">
        <v>19</v>
      </c>
      <c r="W38" s="679">
        <v>21</v>
      </c>
      <c r="X38" s="679">
        <v>37</v>
      </c>
      <c r="Y38" s="679">
        <v>36</v>
      </c>
      <c r="Z38" s="679">
        <v>25</v>
      </c>
      <c r="AA38" s="679">
        <v>38</v>
      </c>
      <c r="AB38" s="679">
        <v>20</v>
      </c>
      <c r="AC38" s="679">
        <v>39</v>
      </c>
      <c r="AD38" s="679">
        <v>27</v>
      </c>
      <c r="AE38" s="679">
        <v>15</v>
      </c>
      <c r="AF38" s="679">
        <v>812</v>
      </c>
      <c r="AG38" s="498">
        <v>27</v>
      </c>
      <c r="AH38" s="1287">
        <v>423</v>
      </c>
      <c r="AI38" s="1287">
        <v>20</v>
      </c>
      <c r="AJ38" s="1287">
        <v>20</v>
      </c>
      <c r="AK38" s="1287">
        <v>33</v>
      </c>
      <c r="AL38" s="1287">
        <v>14</v>
      </c>
      <c r="AM38" s="1287">
        <v>16</v>
      </c>
      <c r="AN38" s="1287">
        <v>37</v>
      </c>
      <c r="AO38" s="1287">
        <v>23</v>
      </c>
      <c r="AP38" s="1287">
        <v>22</v>
      </c>
      <c r="AQ38" s="1287">
        <v>29</v>
      </c>
      <c r="AR38" s="1287">
        <v>13</v>
      </c>
      <c r="AS38" s="1287">
        <v>39</v>
      </c>
      <c r="AT38" s="1287">
        <v>28</v>
      </c>
      <c r="AU38" s="1287">
        <v>9</v>
      </c>
      <c r="AV38" s="1287">
        <v>726</v>
      </c>
    </row>
    <row r="39" spans="1:48">
      <c r="A39" s="498">
        <v>28</v>
      </c>
      <c r="B39" s="1286">
        <v>834</v>
      </c>
      <c r="C39" s="1286">
        <v>52</v>
      </c>
      <c r="D39" s="1286">
        <v>42</v>
      </c>
      <c r="E39" s="1286">
        <v>76</v>
      </c>
      <c r="F39" s="1286">
        <v>29</v>
      </c>
      <c r="G39" s="1286">
        <v>26</v>
      </c>
      <c r="H39" s="1286">
        <v>59</v>
      </c>
      <c r="I39" s="1286">
        <v>60</v>
      </c>
      <c r="J39" s="1286">
        <v>45</v>
      </c>
      <c r="K39" s="1286">
        <v>58</v>
      </c>
      <c r="L39" s="1286">
        <v>26</v>
      </c>
      <c r="M39" s="1286">
        <v>63</v>
      </c>
      <c r="N39" s="1286">
        <v>30</v>
      </c>
      <c r="O39" s="1286">
        <v>21</v>
      </c>
      <c r="P39" s="1286">
        <v>1421</v>
      </c>
      <c r="Q39" s="498">
        <v>28</v>
      </c>
      <c r="R39" s="679">
        <v>412</v>
      </c>
      <c r="S39" s="679">
        <v>26</v>
      </c>
      <c r="T39" s="679">
        <v>20</v>
      </c>
      <c r="U39" s="679">
        <v>42</v>
      </c>
      <c r="V39" s="679">
        <v>16</v>
      </c>
      <c r="W39" s="679">
        <v>10</v>
      </c>
      <c r="X39" s="679">
        <v>35</v>
      </c>
      <c r="Y39" s="679">
        <v>32</v>
      </c>
      <c r="Z39" s="679">
        <v>29</v>
      </c>
      <c r="AA39" s="679">
        <v>26</v>
      </c>
      <c r="AB39" s="679">
        <v>12</v>
      </c>
      <c r="AC39" s="679">
        <v>37</v>
      </c>
      <c r="AD39" s="679">
        <v>13</v>
      </c>
      <c r="AE39" s="679">
        <v>12</v>
      </c>
      <c r="AF39" s="679">
        <v>722</v>
      </c>
      <c r="AG39" s="498">
        <v>28</v>
      </c>
      <c r="AH39" s="1287">
        <v>422</v>
      </c>
      <c r="AI39" s="1287">
        <v>26</v>
      </c>
      <c r="AJ39" s="1287">
        <v>22</v>
      </c>
      <c r="AK39" s="1287">
        <v>34</v>
      </c>
      <c r="AL39" s="1287">
        <v>13</v>
      </c>
      <c r="AM39" s="1287">
        <v>16</v>
      </c>
      <c r="AN39" s="1287">
        <v>24</v>
      </c>
      <c r="AO39" s="1287">
        <v>28</v>
      </c>
      <c r="AP39" s="1287">
        <v>16</v>
      </c>
      <c r="AQ39" s="1287">
        <v>32</v>
      </c>
      <c r="AR39" s="1287">
        <v>14</v>
      </c>
      <c r="AS39" s="1287">
        <v>26</v>
      </c>
      <c r="AT39" s="1287">
        <v>17</v>
      </c>
      <c r="AU39" s="1287">
        <v>9</v>
      </c>
      <c r="AV39" s="1287">
        <v>699</v>
      </c>
    </row>
    <row r="40" spans="1:48">
      <c r="A40" s="498">
        <v>29</v>
      </c>
      <c r="B40" s="1286">
        <v>738</v>
      </c>
      <c r="C40" s="1286">
        <v>59</v>
      </c>
      <c r="D40" s="1286">
        <v>36</v>
      </c>
      <c r="E40" s="1286">
        <v>63</v>
      </c>
      <c r="F40" s="1286">
        <v>34</v>
      </c>
      <c r="G40" s="1286">
        <v>27</v>
      </c>
      <c r="H40" s="1286">
        <v>42</v>
      </c>
      <c r="I40" s="1286">
        <v>55</v>
      </c>
      <c r="J40" s="1286">
        <v>31</v>
      </c>
      <c r="K40" s="1286">
        <v>58</v>
      </c>
      <c r="L40" s="1286">
        <v>35</v>
      </c>
      <c r="M40" s="1286">
        <v>63</v>
      </c>
      <c r="N40" s="1286">
        <v>38</v>
      </c>
      <c r="O40" s="1286">
        <v>36</v>
      </c>
      <c r="P40" s="1286">
        <v>1315</v>
      </c>
      <c r="Q40" s="498">
        <v>29</v>
      </c>
      <c r="R40" s="679">
        <v>381</v>
      </c>
      <c r="S40" s="679">
        <v>39</v>
      </c>
      <c r="T40" s="679">
        <v>16</v>
      </c>
      <c r="U40" s="679">
        <v>31</v>
      </c>
      <c r="V40" s="679">
        <v>22</v>
      </c>
      <c r="W40" s="679">
        <v>13</v>
      </c>
      <c r="X40" s="679">
        <v>21</v>
      </c>
      <c r="Y40" s="679">
        <v>27</v>
      </c>
      <c r="Z40" s="679">
        <v>14</v>
      </c>
      <c r="AA40" s="679">
        <v>31</v>
      </c>
      <c r="AB40" s="679">
        <v>17</v>
      </c>
      <c r="AC40" s="679">
        <v>28</v>
      </c>
      <c r="AD40" s="679">
        <v>19</v>
      </c>
      <c r="AE40" s="679">
        <v>16</v>
      </c>
      <c r="AF40" s="679">
        <v>675</v>
      </c>
      <c r="AG40" s="498">
        <v>29</v>
      </c>
      <c r="AH40" s="1287">
        <v>357</v>
      </c>
      <c r="AI40" s="1287">
        <v>20</v>
      </c>
      <c r="AJ40" s="1287">
        <v>20</v>
      </c>
      <c r="AK40" s="1287">
        <v>32</v>
      </c>
      <c r="AL40" s="1287">
        <v>12</v>
      </c>
      <c r="AM40" s="1287">
        <v>14</v>
      </c>
      <c r="AN40" s="1287">
        <v>21</v>
      </c>
      <c r="AO40" s="1287">
        <v>28</v>
      </c>
      <c r="AP40" s="1287">
        <v>17</v>
      </c>
      <c r="AQ40" s="1287">
        <v>27</v>
      </c>
      <c r="AR40" s="1287">
        <v>18</v>
      </c>
      <c r="AS40" s="1287">
        <v>35</v>
      </c>
      <c r="AT40" s="1287">
        <v>19</v>
      </c>
      <c r="AU40" s="1287">
        <v>20</v>
      </c>
      <c r="AV40" s="1287">
        <v>640</v>
      </c>
    </row>
    <row r="41" spans="1:48">
      <c r="A41" s="1288" t="s">
        <v>2257</v>
      </c>
      <c r="B41" s="1286">
        <v>4317</v>
      </c>
      <c r="C41" s="1286">
        <v>284</v>
      </c>
      <c r="D41" s="1286">
        <v>203</v>
      </c>
      <c r="E41" s="1286">
        <v>384</v>
      </c>
      <c r="F41" s="1286">
        <v>161</v>
      </c>
      <c r="G41" s="1286">
        <v>158</v>
      </c>
      <c r="H41" s="1286">
        <v>318</v>
      </c>
      <c r="I41" s="1286">
        <v>300</v>
      </c>
      <c r="J41" s="1286">
        <v>199</v>
      </c>
      <c r="K41" s="1286">
        <v>325</v>
      </c>
      <c r="L41" s="1286">
        <v>186</v>
      </c>
      <c r="M41" s="1286">
        <v>326</v>
      </c>
      <c r="N41" s="1286">
        <v>223</v>
      </c>
      <c r="O41" s="1286">
        <v>138</v>
      </c>
      <c r="P41" s="1286">
        <v>7522</v>
      </c>
      <c r="Q41" s="1288" t="s">
        <v>2257</v>
      </c>
      <c r="R41" s="679">
        <v>2185</v>
      </c>
      <c r="S41" s="679">
        <v>167</v>
      </c>
      <c r="T41" s="679">
        <v>103</v>
      </c>
      <c r="U41" s="679">
        <v>222</v>
      </c>
      <c r="V41" s="679">
        <v>91</v>
      </c>
      <c r="W41" s="679">
        <v>85</v>
      </c>
      <c r="X41" s="679">
        <v>175</v>
      </c>
      <c r="Y41" s="679">
        <v>157</v>
      </c>
      <c r="Z41" s="679">
        <v>110</v>
      </c>
      <c r="AA41" s="679">
        <v>173</v>
      </c>
      <c r="AB41" s="679">
        <v>101</v>
      </c>
      <c r="AC41" s="679">
        <v>179</v>
      </c>
      <c r="AD41" s="679">
        <v>116</v>
      </c>
      <c r="AE41" s="679">
        <v>74</v>
      </c>
      <c r="AF41" s="679">
        <v>3938</v>
      </c>
      <c r="AG41" s="1288" t="s">
        <v>2257</v>
      </c>
      <c r="AH41" s="1287">
        <v>2132</v>
      </c>
      <c r="AI41" s="1287">
        <v>117</v>
      </c>
      <c r="AJ41" s="1287">
        <v>100</v>
      </c>
      <c r="AK41" s="1287">
        <v>162</v>
      </c>
      <c r="AL41" s="1287">
        <v>70</v>
      </c>
      <c r="AM41" s="1287">
        <v>73</v>
      </c>
      <c r="AN41" s="1287">
        <v>143</v>
      </c>
      <c r="AO41" s="1287">
        <v>143</v>
      </c>
      <c r="AP41" s="1287">
        <v>89</v>
      </c>
      <c r="AQ41" s="1287">
        <v>152</v>
      </c>
      <c r="AR41" s="1287">
        <v>85</v>
      </c>
      <c r="AS41" s="1287">
        <v>147</v>
      </c>
      <c r="AT41" s="1287">
        <v>107</v>
      </c>
      <c r="AU41" s="1287">
        <v>64</v>
      </c>
      <c r="AV41" s="1287">
        <v>3584</v>
      </c>
    </row>
    <row r="42" spans="1:48">
      <c r="A42" s="498">
        <v>30</v>
      </c>
      <c r="B42" s="1286">
        <v>736</v>
      </c>
      <c r="C42" s="1286">
        <v>48</v>
      </c>
      <c r="D42" s="1286">
        <v>31</v>
      </c>
      <c r="E42" s="1286">
        <v>74</v>
      </c>
      <c r="F42" s="1286">
        <v>34</v>
      </c>
      <c r="G42" s="1286">
        <v>29</v>
      </c>
      <c r="H42" s="1286">
        <v>61</v>
      </c>
      <c r="I42" s="1286">
        <v>51</v>
      </c>
      <c r="J42" s="1286">
        <v>45</v>
      </c>
      <c r="K42" s="1286">
        <v>67</v>
      </c>
      <c r="L42" s="1286">
        <v>28</v>
      </c>
      <c r="M42" s="1286">
        <v>65</v>
      </c>
      <c r="N42" s="1286">
        <v>46</v>
      </c>
      <c r="O42" s="1286">
        <v>32</v>
      </c>
      <c r="P42" s="1286">
        <v>1347</v>
      </c>
      <c r="Q42" s="498">
        <v>30</v>
      </c>
      <c r="R42" s="679">
        <v>372</v>
      </c>
      <c r="S42" s="679">
        <v>25</v>
      </c>
      <c r="T42" s="679">
        <v>16</v>
      </c>
      <c r="U42" s="679">
        <v>43</v>
      </c>
      <c r="V42" s="679">
        <v>17</v>
      </c>
      <c r="W42" s="679">
        <v>19</v>
      </c>
      <c r="X42" s="679">
        <v>28</v>
      </c>
      <c r="Y42" s="679">
        <v>25</v>
      </c>
      <c r="Z42" s="679">
        <v>25</v>
      </c>
      <c r="AA42" s="679">
        <v>42</v>
      </c>
      <c r="AB42" s="679">
        <v>15</v>
      </c>
      <c r="AC42" s="679">
        <v>30</v>
      </c>
      <c r="AD42" s="679">
        <v>24</v>
      </c>
      <c r="AE42" s="679">
        <v>16</v>
      </c>
      <c r="AF42" s="679">
        <v>697</v>
      </c>
      <c r="AG42" s="498">
        <v>30</v>
      </c>
      <c r="AH42" s="1287">
        <v>364</v>
      </c>
      <c r="AI42" s="1287">
        <v>23</v>
      </c>
      <c r="AJ42" s="1287">
        <v>15</v>
      </c>
      <c r="AK42" s="1287">
        <v>31</v>
      </c>
      <c r="AL42" s="1287">
        <v>17</v>
      </c>
      <c r="AM42" s="1287">
        <v>10</v>
      </c>
      <c r="AN42" s="1287">
        <v>33</v>
      </c>
      <c r="AO42" s="1287">
        <v>26</v>
      </c>
      <c r="AP42" s="1287">
        <v>20</v>
      </c>
      <c r="AQ42" s="1287">
        <v>25</v>
      </c>
      <c r="AR42" s="1287">
        <v>13</v>
      </c>
      <c r="AS42" s="1287">
        <v>35</v>
      </c>
      <c r="AT42" s="1287">
        <v>22</v>
      </c>
      <c r="AU42" s="1287">
        <v>16</v>
      </c>
      <c r="AV42" s="1287">
        <v>650</v>
      </c>
    </row>
    <row r="43" spans="1:48">
      <c r="A43" s="498">
        <v>31</v>
      </c>
      <c r="B43" s="1286">
        <v>694</v>
      </c>
      <c r="C43" s="1286">
        <v>49</v>
      </c>
      <c r="D43" s="1286">
        <v>36</v>
      </c>
      <c r="E43" s="1286">
        <v>68</v>
      </c>
      <c r="F43" s="1286">
        <v>21</v>
      </c>
      <c r="G43" s="1286">
        <v>26</v>
      </c>
      <c r="H43" s="1286">
        <v>55</v>
      </c>
      <c r="I43" s="1286">
        <v>53</v>
      </c>
      <c r="J43" s="1286">
        <v>37</v>
      </c>
      <c r="K43" s="1286">
        <v>51</v>
      </c>
      <c r="L43" s="1286">
        <v>32</v>
      </c>
      <c r="M43" s="1286">
        <v>55</v>
      </c>
      <c r="N43" s="1286">
        <v>39</v>
      </c>
      <c r="O43" s="1286">
        <v>29</v>
      </c>
      <c r="P43" s="1286">
        <v>1245</v>
      </c>
      <c r="Q43" s="498">
        <v>31</v>
      </c>
      <c r="R43" s="679">
        <v>341</v>
      </c>
      <c r="S43" s="679">
        <v>26</v>
      </c>
      <c r="T43" s="679">
        <v>20</v>
      </c>
      <c r="U43" s="679">
        <v>38</v>
      </c>
      <c r="V43" s="679">
        <v>13</v>
      </c>
      <c r="W43" s="679">
        <v>16</v>
      </c>
      <c r="X43" s="679">
        <v>27</v>
      </c>
      <c r="Y43" s="679">
        <v>27</v>
      </c>
      <c r="Z43" s="679">
        <v>16</v>
      </c>
      <c r="AA43" s="679">
        <v>24</v>
      </c>
      <c r="AB43" s="679">
        <v>23</v>
      </c>
      <c r="AC43" s="679">
        <v>34</v>
      </c>
      <c r="AD43" s="679">
        <v>24</v>
      </c>
      <c r="AE43" s="679">
        <v>15</v>
      </c>
      <c r="AF43" s="679">
        <v>644</v>
      </c>
      <c r="AG43" s="498">
        <v>31</v>
      </c>
      <c r="AH43" s="1287">
        <v>353</v>
      </c>
      <c r="AI43" s="1287">
        <v>23</v>
      </c>
      <c r="AJ43" s="1287">
        <v>16</v>
      </c>
      <c r="AK43" s="1287">
        <v>30</v>
      </c>
      <c r="AL43" s="1287">
        <v>8</v>
      </c>
      <c r="AM43" s="1287">
        <v>10</v>
      </c>
      <c r="AN43" s="1287">
        <v>28</v>
      </c>
      <c r="AO43" s="1287">
        <v>26</v>
      </c>
      <c r="AP43" s="1287">
        <v>21</v>
      </c>
      <c r="AQ43" s="1287">
        <v>27</v>
      </c>
      <c r="AR43" s="1287">
        <v>9</v>
      </c>
      <c r="AS43" s="1287">
        <v>21</v>
      </c>
      <c r="AT43" s="1287">
        <v>15</v>
      </c>
      <c r="AU43" s="1287">
        <v>14</v>
      </c>
      <c r="AV43" s="1287">
        <v>601</v>
      </c>
    </row>
    <row r="44" spans="1:48">
      <c r="A44" s="498">
        <v>32</v>
      </c>
      <c r="B44" s="1286">
        <v>702</v>
      </c>
      <c r="C44" s="1286">
        <v>53</v>
      </c>
      <c r="D44" s="1286">
        <v>40</v>
      </c>
      <c r="E44" s="1286">
        <v>63</v>
      </c>
      <c r="F44" s="1286">
        <v>25</v>
      </c>
      <c r="G44" s="1286">
        <v>17</v>
      </c>
      <c r="H44" s="1286">
        <v>62</v>
      </c>
      <c r="I44" s="1286">
        <v>57</v>
      </c>
      <c r="J44" s="1286">
        <v>34</v>
      </c>
      <c r="K44" s="1286">
        <v>53</v>
      </c>
      <c r="L44" s="1286">
        <v>24</v>
      </c>
      <c r="M44" s="1286">
        <v>57</v>
      </c>
      <c r="N44" s="1286">
        <v>51</v>
      </c>
      <c r="O44" s="1286">
        <v>33</v>
      </c>
      <c r="P44" s="1286">
        <v>1271</v>
      </c>
      <c r="Q44" s="498">
        <v>32</v>
      </c>
      <c r="R44" s="679">
        <v>355</v>
      </c>
      <c r="S44" s="679">
        <v>24</v>
      </c>
      <c r="T44" s="679">
        <v>21</v>
      </c>
      <c r="U44" s="679">
        <v>38</v>
      </c>
      <c r="V44" s="679">
        <v>14</v>
      </c>
      <c r="W44" s="679">
        <v>11</v>
      </c>
      <c r="X44" s="679">
        <v>34</v>
      </c>
      <c r="Y44" s="679">
        <v>39</v>
      </c>
      <c r="Z44" s="679">
        <v>22</v>
      </c>
      <c r="AA44" s="679">
        <v>31</v>
      </c>
      <c r="AB44" s="679">
        <v>13</v>
      </c>
      <c r="AC44" s="679">
        <v>39</v>
      </c>
      <c r="AD44" s="679">
        <v>29</v>
      </c>
      <c r="AE44" s="679">
        <v>12</v>
      </c>
      <c r="AF44" s="679">
        <v>682</v>
      </c>
      <c r="AG44" s="498">
        <v>32</v>
      </c>
      <c r="AH44" s="1287">
        <v>347</v>
      </c>
      <c r="AI44" s="1287">
        <v>29</v>
      </c>
      <c r="AJ44" s="1287">
        <v>19</v>
      </c>
      <c r="AK44" s="1287">
        <v>25</v>
      </c>
      <c r="AL44" s="1287">
        <v>11</v>
      </c>
      <c r="AM44" s="1287">
        <v>6</v>
      </c>
      <c r="AN44" s="1287">
        <v>28</v>
      </c>
      <c r="AO44" s="1287">
        <v>18</v>
      </c>
      <c r="AP44" s="1287">
        <v>12</v>
      </c>
      <c r="AQ44" s="1287">
        <v>22</v>
      </c>
      <c r="AR44" s="1287">
        <v>11</v>
      </c>
      <c r="AS44" s="1287">
        <v>18</v>
      </c>
      <c r="AT44" s="1287">
        <v>22</v>
      </c>
      <c r="AU44" s="1287">
        <v>21</v>
      </c>
      <c r="AV44" s="1287">
        <v>589</v>
      </c>
    </row>
    <row r="45" spans="1:48">
      <c r="A45" s="498">
        <v>33</v>
      </c>
      <c r="B45" s="1286">
        <v>677</v>
      </c>
      <c r="C45" s="1286">
        <v>37</v>
      </c>
      <c r="D45" s="1286">
        <v>44</v>
      </c>
      <c r="E45" s="1286">
        <v>43</v>
      </c>
      <c r="F45" s="1286">
        <v>26</v>
      </c>
      <c r="G45" s="1286">
        <v>23</v>
      </c>
      <c r="H45" s="1286">
        <v>58</v>
      </c>
      <c r="I45" s="1286">
        <v>43</v>
      </c>
      <c r="J45" s="1286">
        <v>34</v>
      </c>
      <c r="K45" s="1286">
        <v>50</v>
      </c>
      <c r="L45" s="1286">
        <v>25</v>
      </c>
      <c r="M45" s="1286">
        <v>57</v>
      </c>
      <c r="N45" s="1286">
        <v>48</v>
      </c>
      <c r="O45" s="1286">
        <v>29</v>
      </c>
      <c r="P45" s="1286">
        <v>1194</v>
      </c>
      <c r="Q45" s="498">
        <v>33</v>
      </c>
      <c r="R45" s="679">
        <v>323</v>
      </c>
      <c r="S45" s="679">
        <v>19</v>
      </c>
      <c r="T45" s="679">
        <v>24</v>
      </c>
      <c r="U45" s="679">
        <v>18</v>
      </c>
      <c r="V45" s="679">
        <v>11</v>
      </c>
      <c r="W45" s="679">
        <v>13</v>
      </c>
      <c r="X45" s="679">
        <v>38</v>
      </c>
      <c r="Y45" s="679">
        <v>20</v>
      </c>
      <c r="Z45" s="679">
        <v>20</v>
      </c>
      <c r="AA45" s="679">
        <v>25</v>
      </c>
      <c r="AB45" s="679">
        <v>12</v>
      </c>
      <c r="AC45" s="679">
        <v>31</v>
      </c>
      <c r="AD45" s="679">
        <v>23</v>
      </c>
      <c r="AE45" s="679">
        <v>16</v>
      </c>
      <c r="AF45" s="679">
        <v>593</v>
      </c>
      <c r="AG45" s="498">
        <v>33</v>
      </c>
      <c r="AH45" s="1287">
        <v>354</v>
      </c>
      <c r="AI45" s="1287">
        <v>18</v>
      </c>
      <c r="AJ45" s="1287">
        <v>20</v>
      </c>
      <c r="AK45" s="1287">
        <v>25</v>
      </c>
      <c r="AL45" s="1287">
        <v>15</v>
      </c>
      <c r="AM45" s="1287">
        <v>10</v>
      </c>
      <c r="AN45" s="1287">
        <v>20</v>
      </c>
      <c r="AO45" s="1287">
        <v>23</v>
      </c>
      <c r="AP45" s="1287">
        <v>14</v>
      </c>
      <c r="AQ45" s="1287">
        <v>25</v>
      </c>
      <c r="AR45" s="1287">
        <v>13</v>
      </c>
      <c r="AS45" s="1287">
        <v>26</v>
      </c>
      <c r="AT45" s="1287">
        <v>25</v>
      </c>
      <c r="AU45" s="1287">
        <v>13</v>
      </c>
      <c r="AV45" s="1287">
        <v>601</v>
      </c>
    </row>
    <row r="46" spans="1:48">
      <c r="A46" s="498">
        <v>34</v>
      </c>
      <c r="B46" s="1286">
        <v>657</v>
      </c>
      <c r="C46" s="1286">
        <v>54</v>
      </c>
      <c r="D46" s="1286">
        <v>36</v>
      </c>
      <c r="E46" s="1286">
        <v>78</v>
      </c>
      <c r="F46" s="1286">
        <v>26</v>
      </c>
      <c r="G46" s="1286">
        <v>21</v>
      </c>
      <c r="H46" s="1286">
        <v>55</v>
      </c>
      <c r="I46" s="1286">
        <v>47</v>
      </c>
      <c r="J46" s="1286">
        <v>23</v>
      </c>
      <c r="K46" s="1286">
        <v>51</v>
      </c>
      <c r="L46" s="1286">
        <v>18</v>
      </c>
      <c r="M46" s="1286">
        <v>55</v>
      </c>
      <c r="N46" s="1286">
        <v>36</v>
      </c>
      <c r="O46" s="1286">
        <v>30</v>
      </c>
      <c r="P46" s="1286">
        <v>1187</v>
      </c>
      <c r="Q46" s="498">
        <v>34</v>
      </c>
      <c r="R46" s="679">
        <v>319</v>
      </c>
      <c r="S46" s="679">
        <v>26</v>
      </c>
      <c r="T46" s="679">
        <v>19</v>
      </c>
      <c r="U46" s="679">
        <v>40</v>
      </c>
      <c r="V46" s="679">
        <v>14</v>
      </c>
      <c r="W46" s="679">
        <v>15</v>
      </c>
      <c r="X46" s="679">
        <v>28</v>
      </c>
      <c r="Y46" s="679">
        <v>27</v>
      </c>
      <c r="Z46" s="679">
        <v>12</v>
      </c>
      <c r="AA46" s="679">
        <v>26</v>
      </c>
      <c r="AB46" s="679">
        <v>7</v>
      </c>
      <c r="AC46" s="679">
        <v>28</v>
      </c>
      <c r="AD46" s="679">
        <v>21</v>
      </c>
      <c r="AE46" s="679">
        <v>14</v>
      </c>
      <c r="AF46" s="679">
        <v>596</v>
      </c>
      <c r="AG46" s="498">
        <v>34</v>
      </c>
      <c r="AH46" s="1287">
        <v>338</v>
      </c>
      <c r="AI46" s="1287">
        <v>28</v>
      </c>
      <c r="AJ46" s="1287">
        <v>17</v>
      </c>
      <c r="AK46" s="1287">
        <v>38</v>
      </c>
      <c r="AL46" s="1287">
        <v>12</v>
      </c>
      <c r="AM46" s="1287">
        <v>6</v>
      </c>
      <c r="AN46" s="1287">
        <v>27</v>
      </c>
      <c r="AO46" s="1287">
        <v>20</v>
      </c>
      <c r="AP46" s="1287">
        <v>11</v>
      </c>
      <c r="AQ46" s="1287">
        <v>25</v>
      </c>
      <c r="AR46" s="1287">
        <v>11</v>
      </c>
      <c r="AS46" s="1287">
        <v>27</v>
      </c>
      <c r="AT46" s="1287">
        <v>15</v>
      </c>
      <c r="AU46" s="1287">
        <v>16</v>
      </c>
      <c r="AV46" s="1287">
        <v>591</v>
      </c>
    </row>
    <row r="47" spans="1:48">
      <c r="A47" s="1288" t="s">
        <v>2258</v>
      </c>
      <c r="B47" s="1286">
        <v>3466</v>
      </c>
      <c r="C47" s="1286">
        <v>241</v>
      </c>
      <c r="D47" s="1286">
        <v>187</v>
      </c>
      <c r="E47" s="1286">
        <v>326</v>
      </c>
      <c r="F47" s="1286">
        <v>132</v>
      </c>
      <c r="G47" s="1286">
        <v>116</v>
      </c>
      <c r="H47" s="1286">
        <v>291</v>
      </c>
      <c r="I47" s="1286">
        <v>251</v>
      </c>
      <c r="J47" s="1286">
        <v>173</v>
      </c>
      <c r="K47" s="1286">
        <v>272</v>
      </c>
      <c r="L47" s="1286">
        <v>127</v>
      </c>
      <c r="M47" s="1286">
        <v>289</v>
      </c>
      <c r="N47" s="1286">
        <v>220</v>
      </c>
      <c r="O47" s="1286">
        <v>153</v>
      </c>
      <c r="P47" s="1286">
        <v>6244</v>
      </c>
      <c r="Q47" s="1288" t="s">
        <v>2258</v>
      </c>
      <c r="R47" s="679">
        <v>1710</v>
      </c>
      <c r="S47" s="679">
        <v>120</v>
      </c>
      <c r="T47" s="679">
        <v>100</v>
      </c>
      <c r="U47" s="679">
        <v>177</v>
      </c>
      <c r="V47" s="679">
        <v>69</v>
      </c>
      <c r="W47" s="679">
        <v>74</v>
      </c>
      <c r="X47" s="679">
        <v>155</v>
      </c>
      <c r="Y47" s="679">
        <v>138</v>
      </c>
      <c r="Z47" s="679">
        <v>95</v>
      </c>
      <c r="AA47" s="679">
        <v>148</v>
      </c>
      <c r="AB47" s="679">
        <v>70</v>
      </c>
      <c r="AC47" s="679">
        <v>162</v>
      </c>
      <c r="AD47" s="679">
        <v>121</v>
      </c>
      <c r="AE47" s="679">
        <v>73</v>
      </c>
      <c r="AF47" s="679">
        <v>3212</v>
      </c>
      <c r="AG47" s="1288" t="s">
        <v>2258</v>
      </c>
      <c r="AH47" s="1287">
        <v>1756</v>
      </c>
      <c r="AI47" s="1287">
        <v>121</v>
      </c>
      <c r="AJ47" s="1287">
        <v>87</v>
      </c>
      <c r="AK47" s="1287">
        <v>149</v>
      </c>
      <c r="AL47" s="1287">
        <v>63</v>
      </c>
      <c r="AM47" s="1287">
        <v>42</v>
      </c>
      <c r="AN47" s="1287">
        <v>136</v>
      </c>
      <c r="AO47" s="1287">
        <v>113</v>
      </c>
      <c r="AP47" s="1287">
        <v>78</v>
      </c>
      <c r="AQ47" s="1287">
        <v>124</v>
      </c>
      <c r="AR47" s="1287">
        <v>57</v>
      </c>
      <c r="AS47" s="1287">
        <v>127</v>
      </c>
      <c r="AT47" s="1287">
        <v>99</v>
      </c>
      <c r="AU47" s="1287">
        <v>80</v>
      </c>
      <c r="AV47" s="1287">
        <v>3032</v>
      </c>
    </row>
    <row r="48" spans="1:48">
      <c r="A48" s="498">
        <v>35</v>
      </c>
      <c r="B48" s="1286">
        <v>611</v>
      </c>
      <c r="C48" s="1286">
        <v>36</v>
      </c>
      <c r="D48" s="1286">
        <v>32</v>
      </c>
      <c r="E48" s="1286">
        <v>69</v>
      </c>
      <c r="F48" s="1286">
        <v>26</v>
      </c>
      <c r="G48" s="1286">
        <v>15</v>
      </c>
      <c r="H48" s="1286">
        <v>61</v>
      </c>
      <c r="I48" s="1286">
        <v>45</v>
      </c>
      <c r="J48" s="1286">
        <v>21</v>
      </c>
      <c r="K48" s="1286">
        <v>45</v>
      </c>
      <c r="L48" s="1286">
        <v>22</v>
      </c>
      <c r="M48" s="1286">
        <v>46</v>
      </c>
      <c r="N48" s="1286">
        <v>40</v>
      </c>
      <c r="O48" s="1286">
        <v>27</v>
      </c>
      <c r="P48" s="1286">
        <v>1096</v>
      </c>
      <c r="Q48" s="498">
        <v>35</v>
      </c>
      <c r="R48" s="679">
        <v>306</v>
      </c>
      <c r="S48" s="679">
        <v>16</v>
      </c>
      <c r="T48" s="679">
        <v>22</v>
      </c>
      <c r="U48" s="679">
        <v>37</v>
      </c>
      <c r="V48" s="679">
        <v>16</v>
      </c>
      <c r="W48" s="679">
        <v>9</v>
      </c>
      <c r="X48" s="679">
        <v>32</v>
      </c>
      <c r="Y48" s="679">
        <v>26</v>
      </c>
      <c r="Z48" s="679">
        <v>9</v>
      </c>
      <c r="AA48" s="679">
        <v>22</v>
      </c>
      <c r="AB48" s="679">
        <v>8</v>
      </c>
      <c r="AC48" s="679">
        <v>27</v>
      </c>
      <c r="AD48" s="679">
        <v>21</v>
      </c>
      <c r="AE48" s="679">
        <v>14</v>
      </c>
      <c r="AF48" s="679">
        <v>565</v>
      </c>
      <c r="AG48" s="498">
        <v>35</v>
      </c>
      <c r="AH48" s="1287">
        <v>305</v>
      </c>
      <c r="AI48" s="1287">
        <v>20</v>
      </c>
      <c r="AJ48" s="1287">
        <v>10</v>
      </c>
      <c r="AK48" s="1287">
        <v>32</v>
      </c>
      <c r="AL48" s="1287">
        <v>10</v>
      </c>
      <c r="AM48" s="1287">
        <v>6</v>
      </c>
      <c r="AN48" s="1287">
        <v>29</v>
      </c>
      <c r="AO48" s="1287">
        <v>19</v>
      </c>
      <c r="AP48" s="1287">
        <v>12</v>
      </c>
      <c r="AQ48" s="1287">
        <v>23</v>
      </c>
      <c r="AR48" s="1287">
        <v>14</v>
      </c>
      <c r="AS48" s="1287">
        <v>19</v>
      </c>
      <c r="AT48" s="1287">
        <v>19</v>
      </c>
      <c r="AU48" s="1287">
        <v>13</v>
      </c>
      <c r="AV48" s="1287">
        <v>531</v>
      </c>
    </row>
    <row r="49" spans="1:48">
      <c r="A49" s="498">
        <v>36</v>
      </c>
      <c r="B49" s="1286">
        <v>642</v>
      </c>
      <c r="C49" s="1286">
        <v>53</v>
      </c>
      <c r="D49" s="1286">
        <v>32</v>
      </c>
      <c r="E49" s="1286">
        <v>76</v>
      </c>
      <c r="F49" s="1286">
        <v>34</v>
      </c>
      <c r="G49" s="1286">
        <v>22</v>
      </c>
      <c r="H49" s="1286">
        <v>56</v>
      </c>
      <c r="I49" s="1286">
        <v>28</v>
      </c>
      <c r="J49" s="1286">
        <v>28</v>
      </c>
      <c r="K49" s="1286">
        <v>67</v>
      </c>
      <c r="L49" s="1286">
        <v>27</v>
      </c>
      <c r="M49" s="1286">
        <v>44</v>
      </c>
      <c r="N49" s="1286">
        <v>30</v>
      </c>
      <c r="O49" s="1286">
        <v>32</v>
      </c>
      <c r="P49" s="1286">
        <v>1171</v>
      </c>
      <c r="Q49" s="498">
        <v>36</v>
      </c>
      <c r="R49" s="679">
        <v>309</v>
      </c>
      <c r="S49" s="679">
        <v>30</v>
      </c>
      <c r="T49" s="679">
        <v>18</v>
      </c>
      <c r="U49" s="679">
        <v>48</v>
      </c>
      <c r="V49" s="679">
        <v>15</v>
      </c>
      <c r="W49" s="679">
        <v>15</v>
      </c>
      <c r="X49" s="679">
        <v>34</v>
      </c>
      <c r="Y49" s="679">
        <v>13</v>
      </c>
      <c r="Z49" s="679">
        <v>11</v>
      </c>
      <c r="AA49" s="679">
        <v>36</v>
      </c>
      <c r="AB49" s="679">
        <v>15</v>
      </c>
      <c r="AC49" s="679">
        <v>20</v>
      </c>
      <c r="AD49" s="679">
        <v>18</v>
      </c>
      <c r="AE49" s="679">
        <v>11</v>
      </c>
      <c r="AF49" s="679">
        <v>593</v>
      </c>
      <c r="AG49" s="498">
        <v>36</v>
      </c>
      <c r="AH49" s="1287">
        <v>333</v>
      </c>
      <c r="AI49" s="1287">
        <v>23</v>
      </c>
      <c r="AJ49" s="1287">
        <v>14</v>
      </c>
      <c r="AK49" s="1287">
        <v>28</v>
      </c>
      <c r="AL49" s="1287">
        <v>19</v>
      </c>
      <c r="AM49" s="1287">
        <v>7</v>
      </c>
      <c r="AN49" s="1287">
        <v>22</v>
      </c>
      <c r="AO49" s="1287">
        <v>15</v>
      </c>
      <c r="AP49" s="1287">
        <v>17</v>
      </c>
      <c r="AQ49" s="1287">
        <v>31</v>
      </c>
      <c r="AR49" s="1287">
        <v>12</v>
      </c>
      <c r="AS49" s="1287">
        <v>24</v>
      </c>
      <c r="AT49" s="1287">
        <v>12</v>
      </c>
      <c r="AU49" s="1287">
        <v>21</v>
      </c>
      <c r="AV49" s="1287">
        <v>578</v>
      </c>
    </row>
    <row r="50" spans="1:48">
      <c r="A50" s="498">
        <v>37</v>
      </c>
      <c r="B50" s="1286">
        <v>583</v>
      </c>
      <c r="C50" s="1286">
        <v>42</v>
      </c>
      <c r="D50" s="1286">
        <v>28</v>
      </c>
      <c r="E50" s="1286">
        <v>70</v>
      </c>
      <c r="F50" s="1286">
        <v>23</v>
      </c>
      <c r="G50" s="1286">
        <v>23</v>
      </c>
      <c r="H50" s="1286">
        <v>42</v>
      </c>
      <c r="I50" s="1286">
        <v>38</v>
      </c>
      <c r="J50" s="1286">
        <v>40</v>
      </c>
      <c r="K50" s="1286">
        <v>54</v>
      </c>
      <c r="L50" s="1286">
        <v>26</v>
      </c>
      <c r="M50" s="1286">
        <v>51</v>
      </c>
      <c r="N50" s="1286">
        <v>36</v>
      </c>
      <c r="O50" s="1286">
        <v>25</v>
      </c>
      <c r="P50" s="1286">
        <v>1081</v>
      </c>
      <c r="Q50" s="498">
        <v>37</v>
      </c>
      <c r="R50" s="679">
        <v>295</v>
      </c>
      <c r="S50" s="679">
        <v>23</v>
      </c>
      <c r="T50" s="679">
        <v>16</v>
      </c>
      <c r="U50" s="679">
        <v>40</v>
      </c>
      <c r="V50" s="679">
        <v>12</v>
      </c>
      <c r="W50" s="679">
        <v>13</v>
      </c>
      <c r="X50" s="679">
        <v>21</v>
      </c>
      <c r="Y50" s="679">
        <v>23</v>
      </c>
      <c r="Z50" s="679">
        <v>20</v>
      </c>
      <c r="AA50" s="679">
        <v>22</v>
      </c>
      <c r="AB50" s="679">
        <v>13</v>
      </c>
      <c r="AC50" s="679">
        <v>27</v>
      </c>
      <c r="AD50" s="679">
        <v>20</v>
      </c>
      <c r="AE50" s="679">
        <v>13</v>
      </c>
      <c r="AF50" s="679">
        <v>558</v>
      </c>
      <c r="AG50" s="498">
        <v>37</v>
      </c>
      <c r="AH50" s="1287">
        <v>288</v>
      </c>
      <c r="AI50" s="1287">
        <v>19</v>
      </c>
      <c r="AJ50" s="1287">
        <v>12</v>
      </c>
      <c r="AK50" s="1287">
        <v>30</v>
      </c>
      <c r="AL50" s="1287">
        <v>11</v>
      </c>
      <c r="AM50" s="1287">
        <v>10</v>
      </c>
      <c r="AN50" s="1287">
        <v>21</v>
      </c>
      <c r="AO50" s="1287">
        <v>15</v>
      </c>
      <c r="AP50" s="1287">
        <v>20</v>
      </c>
      <c r="AQ50" s="1287">
        <v>32</v>
      </c>
      <c r="AR50" s="1287">
        <v>13</v>
      </c>
      <c r="AS50" s="1287">
        <v>24</v>
      </c>
      <c r="AT50" s="1287">
        <v>16</v>
      </c>
      <c r="AU50" s="1287">
        <v>12</v>
      </c>
      <c r="AV50" s="1287">
        <v>523</v>
      </c>
    </row>
    <row r="51" spans="1:48">
      <c r="A51" s="1411">
        <v>12</v>
      </c>
      <c r="B51" s="1411"/>
      <c r="C51" s="1411"/>
      <c r="D51" s="1411"/>
      <c r="E51" s="1411"/>
      <c r="F51" s="1411"/>
      <c r="G51" s="1411"/>
      <c r="H51" s="1411"/>
      <c r="I51" s="1411"/>
      <c r="J51" s="1411"/>
      <c r="K51" s="1411"/>
      <c r="L51" s="1411"/>
      <c r="M51" s="1411"/>
      <c r="N51" s="1411"/>
      <c r="O51" s="1411"/>
      <c r="P51" s="1411"/>
      <c r="Q51" s="1411">
        <v>15</v>
      </c>
      <c r="R51" s="1411"/>
      <c r="S51" s="1411"/>
      <c r="T51" s="1411"/>
      <c r="U51" s="1411"/>
      <c r="V51" s="1411"/>
      <c r="W51" s="1411"/>
      <c r="X51" s="1411"/>
      <c r="Y51" s="1411"/>
      <c r="Z51" s="1411"/>
      <c r="AA51" s="1411"/>
      <c r="AB51" s="1411"/>
      <c r="AC51" s="1411"/>
      <c r="AD51" s="1411"/>
      <c r="AE51" s="1411"/>
      <c r="AF51" s="1411"/>
      <c r="AG51" s="1411">
        <v>18</v>
      </c>
      <c r="AH51" s="1411"/>
      <c r="AI51" s="1411"/>
      <c r="AJ51" s="1411"/>
      <c r="AK51" s="1411"/>
      <c r="AL51" s="1411"/>
      <c r="AM51" s="1411"/>
      <c r="AN51" s="1411"/>
      <c r="AO51" s="1411"/>
      <c r="AP51" s="1411"/>
      <c r="AQ51" s="1411"/>
      <c r="AR51" s="1411"/>
      <c r="AS51" s="1411"/>
      <c r="AT51" s="1411"/>
      <c r="AU51" s="1411"/>
      <c r="AV51" s="1411"/>
    </row>
    <row r="52" spans="1:48">
      <c r="A52" s="498">
        <v>38</v>
      </c>
      <c r="B52" s="1286">
        <v>601</v>
      </c>
      <c r="C52" s="1286">
        <v>32</v>
      </c>
      <c r="D52" s="1286">
        <v>25</v>
      </c>
      <c r="E52" s="1286">
        <v>55</v>
      </c>
      <c r="F52" s="1286">
        <v>23</v>
      </c>
      <c r="G52" s="1286">
        <v>22</v>
      </c>
      <c r="H52" s="1286">
        <v>50</v>
      </c>
      <c r="I52" s="1286">
        <v>35</v>
      </c>
      <c r="J52" s="1286">
        <v>24</v>
      </c>
      <c r="K52" s="1286">
        <v>49</v>
      </c>
      <c r="L52" s="1286">
        <v>26</v>
      </c>
      <c r="M52" s="1286">
        <v>50</v>
      </c>
      <c r="N52" s="1286">
        <v>41</v>
      </c>
      <c r="O52" s="1286">
        <v>19</v>
      </c>
      <c r="P52" s="1286">
        <v>1052</v>
      </c>
      <c r="Q52" s="498">
        <v>38</v>
      </c>
      <c r="R52" s="679">
        <v>277</v>
      </c>
      <c r="S52" s="679">
        <v>15</v>
      </c>
      <c r="T52" s="679">
        <v>12</v>
      </c>
      <c r="U52" s="679">
        <v>24</v>
      </c>
      <c r="V52" s="679">
        <v>13</v>
      </c>
      <c r="W52" s="679">
        <v>10</v>
      </c>
      <c r="X52" s="679">
        <v>22</v>
      </c>
      <c r="Y52" s="679">
        <v>15</v>
      </c>
      <c r="Z52" s="679">
        <v>10</v>
      </c>
      <c r="AA52" s="679">
        <v>18</v>
      </c>
      <c r="AB52" s="679">
        <v>13</v>
      </c>
      <c r="AC52" s="679">
        <v>22</v>
      </c>
      <c r="AD52" s="679">
        <v>22</v>
      </c>
      <c r="AE52" s="679">
        <v>12</v>
      </c>
      <c r="AF52" s="679">
        <v>485</v>
      </c>
      <c r="AG52" s="498">
        <v>38</v>
      </c>
      <c r="AH52" s="1287">
        <v>324</v>
      </c>
      <c r="AI52" s="1287">
        <v>17</v>
      </c>
      <c r="AJ52" s="1287">
        <v>13</v>
      </c>
      <c r="AK52" s="1287">
        <v>31</v>
      </c>
      <c r="AL52" s="1287">
        <v>10</v>
      </c>
      <c r="AM52" s="1287">
        <v>12</v>
      </c>
      <c r="AN52" s="1287">
        <v>28</v>
      </c>
      <c r="AO52" s="1287">
        <v>20</v>
      </c>
      <c r="AP52" s="1287">
        <v>14</v>
      </c>
      <c r="AQ52" s="1287">
        <v>31</v>
      </c>
      <c r="AR52" s="1287">
        <v>13</v>
      </c>
      <c r="AS52" s="1287">
        <v>28</v>
      </c>
      <c r="AT52" s="1287">
        <v>19</v>
      </c>
      <c r="AU52" s="1287">
        <v>7</v>
      </c>
      <c r="AV52" s="1287">
        <v>567</v>
      </c>
    </row>
    <row r="53" spans="1:48">
      <c r="A53" s="498">
        <v>39</v>
      </c>
      <c r="B53" s="1286">
        <v>611</v>
      </c>
      <c r="C53" s="1286">
        <v>39</v>
      </c>
      <c r="D53" s="1286">
        <v>35</v>
      </c>
      <c r="E53" s="1286">
        <v>49</v>
      </c>
      <c r="F53" s="1286">
        <v>22</v>
      </c>
      <c r="G53" s="1286">
        <v>25</v>
      </c>
      <c r="H53" s="1286">
        <v>36</v>
      </c>
      <c r="I53" s="1286">
        <v>33</v>
      </c>
      <c r="J53" s="1286">
        <v>28</v>
      </c>
      <c r="K53" s="1286">
        <v>56</v>
      </c>
      <c r="L53" s="1286">
        <v>21</v>
      </c>
      <c r="M53" s="1286">
        <v>44</v>
      </c>
      <c r="N53" s="1286">
        <v>32</v>
      </c>
      <c r="O53" s="1286">
        <v>29</v>
      </c>
      <c r="P53" s="1286">
        <v>1060</v>
      </c>
      <c r="Q53" s="498">
        <v>39</v>
      </c>
      <c r="R53" s="679">
        <v>268</v>
      </c>
      <c r="S53" s="679">
        <v>22</v>
      </c>
      <c r="T53" s="679">
        <v>15</v>
      </c>
      <c r="U53" s="679">
        <v>24</v>
      </c>
      <c r="V53" s="679">
        <v>11</v>
      </c>
      <c r="W53" s="679">
        <v>12</v>
      </c>
      <c r="X53" s="679">
        <v>17</v>
      </c>
      <c r="Y53" s="679">
        <v>22</v>
      </c>
      <c r="Z53" s="679">
        <v>17</v>
      </c>
      <c r="AA53" s="679">
        <v>29</v>
      </c>
      <c r="AB53" s="679">
        <v>11</v>
      </c>
      <c r="AC53" s="679">
        <v>23</v>
      </c>
      <c r="AD53" s="679">
        <v>18</v>
      </c>
      <c r="AE53" s="679">
        <v>16</v>
      </c>
      <c r="AF53" s="679">
        <v>505</v>
      </c>
      <c r="AG53" s="498">
        <v>39</v>
      </c>
      <c r="AH53" s="1287">
        <v>343</v>
      </c>
      <c r="AI53" s="1287">
        <v>17</v>
      </c>
      <c r="AJ53" s="1287">
        <v>20</v>
      </c>
      <c r="AK53" s="1287">
        <v>25</v>
      </c>
      <c r="AL53" s="1287">
        <v>11</v>
      </c>
      <c r="AM53" s="1287">
        <v>13</v>
      </c>
      <c r="AN53" s="1287">
        <v>19</v>
      </c>
      <c r="AO53" s="1287">
        <v>11</v>
      </c>
      <c r="AP53" s="1287">
        <v>11</v>
      </c>
      <c r="AQ53" s="1287">
        <v>27</v>
      </c>
      <c r="AR53" s="1287">
        <v>10</v>
      </c>
      <c r="AS53" s="1287">
        <v>21</v>
      </c>
      <c r="AT53" s="1287">
        <v>14</v>
      </c>
      <c r="AU53" s="1287">
        <v>13</v>
      </c>
      <c r="AV53" s="1287">
        <v>555</v>
      </c>
    </row>
    <row r="54" spans="1:48">
      <c r="A54" s="1288" t="s">
        <v>2259</v>
      </c>
      <c r="B54" s="1286">
        <v>3048</v>
      </c>
      <c r="C54" s="1286">
        <v>202</v>
      </c>
      <c r="D54" s="1286">
        <v>152</v>
      </c>
      <c r="E54" s="1286">
        <v>319</v>
      </c>
      <c r="F54" s="1286">
        <v>128</v>
      </c>
      <c r="G54" s="1286">
        <v>107</v>
      </c>
      <c r="H54" s="1286">
        <v>245</v>
      </c>
      <c r="I54" s="1286">
        <v>179</v>
      </c>
      <c r="J54" s="1286">
        <v>141</v>
      </c>
      <c r="K54" s="1286">
        <v>271</v>
      </c>
      <c r="L54" s="1286">
        <v>122</v>
      </c>
      <c r="M54" s="1286">
        <v>235</v>
      </c>
      <c r="N54" s="1286">
        <v>179</v>
      </c>
      <c r="O54" s="1286">
        <v>132</v>
      </c>
      <c r="P54" s="1286">
        <v>5460</v>
      </c>
      <c r="Q54" s="1288" t="s">
        <v>2259</v>
      </c>
      <c r="R54" s="679">
        <v>1455</v>
      </c>
      <c r="S54" s="679">
        <v>106</v>
      </c>
      <c r="T54" s="679">
        <v>83</v>
      </c>
      <c r="U54" s="679">
        <v>173</v>
      </c>
      <c r="V54" s="679">
        <v>67</v>
      </c>
      <c r="W54" s="679">
        <v>59</v>
      </c>
      <c r="X54" s="679">
        <v>126</v>
      </c>
      <c r="Y54" s="679">
        <v>99</v>
      </c>
      <c r="Z54" s="679">
        <v>67</v>
      </c>
      <c r="AA54" s="679">
        <v>127</v>
      </c>
      <c r="AB54" s="679">
        <v>60</v>
      </c>
      <c r="AC54" s="679">
        <v>119</v>
      </c>
      <c r="AD54" s="679">
        <v>99</v>
      </c>
      <c r="AE54" s="679">
        <v>66</v>
      </c>
      <c r="AF54" s="679">
        <v>2706</v>
      </c>
      <c r="AG54" s="1288" t="s">
        <v>2259</v>
      </c>
      <c r="AH54" s="1287">
        <v>1593</v>
      </c>
      <c r="AI54" s="1287">
        <v>96</v>
      </c>
      <c r="AJ54" s="1287">
        <v>69</v>
      </c>
      <c r="AK54" s="1287">
        <v>146</v>
      </c>
      <c r="AL54" s="1287">
        <v>61</v>
      </c>
      <c r="AM54" s="1287">
        <v>48</v>
      </c>
      <c r="AN54" s="1287">
        <v>119</v>
      </c>
      <c r="AO54" s="1287">
        <v>80</v>
      </c>
      <c r="AP54" s="1287">
        <v>74</v>
      </c>
      <c r="AQ54" s="1287">
        <v>144</v>
      </c>
      <c r="AR54" s="1287">
        <v>62</v>
      </c>
      <c r="AS54" s="1287">
        <v>116</v>
      </c>
      <c r="AT54" s="1287">
        <v>80</v>
      </c>
      <c r="AU54" s="1287">
        <v>66</v>
      </c>
      <c r="AV54" s="1287">
        <v>2754</v>
      </c>
    </row>
    <row r="55" spans="1:48">
      <c r="A55" s="498">
        <v>40</v>
      </c>
      <c r="B55" s="1286">
        <v>555</v>
      </c>
      <c r="C55" s="1286">
        <v>39</v>
      </c>
      <c r="D55" s="1286">
        <v>22</v>
      </c>
      <c r="E55" s="1286">
        <v>61</v>
      </c>
      <c r="F55" s="1286">
        <v>29</v>
      </c>
      <c r="G55" s="1286">
        <v>23</v>
      </c>
      <c r="H55" s="1286">
        <v>42</v>
      </c>
      <c r="I55" s="1286">
        <v>37</v>
      </c>
      <c r="J55" s="1286">
        <v>19</v>
      </c>
      <c r="K55" s="1286">
        <v>42</v>
      </c>
      <c r="L55" s="1286">
        <v>26</v>
      </c>
      <c r="M55" s="1286">
        <v>41</v>
      </c>
      <c r="N55" s="1286">
        <v>29</v>
      </c>
      <c r="O55" s="1286">
        <v>17</v>
      </c>
      <c r="P55" s="1286">
        <v>982</v>
      </c>
      <c r="Q55" s="498">
        <v>40</v>
      </c>
      <c r="R55" s="679">
        <v>267</v>
      </c>
      <c r="S55" s="679">
        <v>21</v>
      </c>
      <c r="T55" s="679">
        <v>16</v>
      </c>
      <c r="U55" s="679">
        <v>27</v>
      </c>
      <c r="V55" s="679">
        <v>10</v>
      </c>
      <c r="W55" s="679">
        <v>14</v>
      </c>
      <c r="X55" s="679">
        <v>20</v>
      </c>
      <c r="Y55" s="679">
        <v>18</v>
      </c>
      <c r="Z55" s="679">
        <v>10</v>
      </c>
      <c r="AA55" s="679">
        <v>24</v>
      </c>
      <c r="AB55" s="679">
        <v>14</v>
      </c>
      <c r="AC55" s="679">
        <v>20</v>
      </c>
      <c r="AD55" s="679">
        <v>16</v>
      </c>
      <c r="AE55" s="679">
        <v>10</v>
      </c>
      <c r="AF55" s="679">
        <v>487</v>
      </c>
      <c r="AG55" s="498">
        <v>40</v>
      </c>
      <c r="AH55" s="1287">
        <v>288</v>
      </c>
      <c r="AI55" s="1287">
        <v>18</v>
      </c>
      <c r="AJ55" s="1287">
        <v>6</v>
      </c>
      <c r="AK55" s="1287">
        <v>34</v>
      </c>
      <c r="AL55" s="1287">
        <v>19</v>
      </c>
      <c r="AM55" s="1287">
        <v>9</v>
      </c>
      <c r="AN55" s="1287">
        <v>22</v>
      </c>
      <c r="AO55" s="1287">
        <v>19</v>
      </c>
      <c r="AP55" s="1287">
        <v>9</v>
      </c>
      <c r="AQ55" s="1287">
        <v>18</v>
      </c>
      <c r="AR55" s="1287">
        <v>12</v>
      </c>
      <c r="AS55" s="1287">
        <v>21</v>
      </c>
      <c r="AT55" s="1287">
        <v>13</v>
      </c>
      <c r="AU55" s="1287">
        <v>7</v>
      </c>
      <c r="AV55" s="1287">
        <v>495</v>
      </c>
    </row>
    <row r="56" spans="1:48">
      <c r="A56" s="498">
        <v>41</v>
      </c>
      <c r="B56" s="1286">
        <v>517</v>
      </c>
      <c r="C56" s="1286">
        <v>31</v>
      </c>
      <c r="D56" s="1286">
        <v>25</v>
      </c>
      <c r="E56" s="1286">
        <v>57</v>
      </c>
      <c r="F56" s="1286">
        <v>24</v>
      </c>
      <c r="G56" s="1286">
        <v>20</v>
      </c>
      <c r="H56" s="1286">
        <v>32</v>
      </c>
      <c r="I56" s="1286">
        <v>24</v>
      </c>
      <c r="J56" s="1286">
        <v>30</v>
      </c>
      <c r="K56" s="1286">
        <v>33</v>
      </c>
      <c r="L56" s="1286">
        <v>28</v>
      </c>
      <c r="M56" s="1286">
        <v>54</v>
      </c>
      <c r="N56" s="1286">
        <v>31</v>
      </c>
      <c r="O56" s="1286">
        <v>19</v>
      </c>
      <c r="P56" s="1286">
        <v>925</v>
      </c>
      <c r="Q56" s="498">
        <v>41</v>
      </c>
      <c r="R56" s="679">
        <v>237</v>
      </c>
      <c r="S56" s="679">
        <v>24</v>
      </c>
      <c r="T56" s="679">
        <v>16</v>
      </c>
      <c r="U56" s="679">
        <v>30</v>
      </c>
      <c r="V56" s="679">
        <v>15</v>
      </c>
      <c r="W56" s="679">
        <v>9</v>
      </c>
      <c r="X56" s="679">
        <v>22</v>
      </c>
      <c r="Y56" s="679">
        <v>14</v>
      </c>
      <c r="Z56" s="679">
        <v>15</v>
      </c>
      <c r="AA56" s="679">
        <v>14</v>
      </c>
      <c r="AB56" s="679">
        <v>17</v>
      </c>
      <c r="AC56" s="679">
        <v>26</v>
      </c>
      <c r="AD56" s="679">
        <v>14</v>
      </c>
      <c r="AE56" s="679">
        <v>15</v>
      </c>
      <c r="AF56" s="679">
        <v>468</v>
      </c>
      <c r="AG56" s="498">
        <v>41</v>
      </c>
      <c r="AH56" s="1287">
        <v>280</v>
      </c>
      <c r="AI56" s="1287">
        <v>7</v>
      </c>
      <c r="AJ56" s="1287">
        <v>9</v>
      </c>
      <c r="AK56" s="1287">
        <v>27</v>
      </c>
      <c r="AL56" s="1287">
        <v>9</v>
      </c>
      <c r="AM56" s="1287">
        <v>11</v>
      </c>
      <c r="AN56" s="1287">
        <v>10</v>
      </c>
      <c r="AO56" s="1287">
        <v>10</v>
      </c>
      <c r="AP56" s="1287">
        <v>15</v>
      </c>
      <c r="AQ56" s="1287">
        <v>19</v>
      </c>
      <c r="AR56" s="1287">
        <v>11</v>
      </c>
      <c r="AS56" s="1287">
        <v>28</v>
      </c>
      <c r="AT56" s="1287">
        <v>17</v>
      </c>
      <c r="AU56" s="1287">
        <v>4</v>
      </c>
      <c r="AV56" s="1287">
        <v>457</v>
      </c>
    </row>
    <row r="57" spans="1:48">
      <c r="A57" s="498">
        <v>42</v>
      </c>
      <c r="B57" s="1286">
        <v>531</v>
      </c>
      <c r="C57" s="1286">
        <v>36</v>
      </c>
      <c r="D57" s="1286">
        <v>29</v>
      </c>
      <c r="E57" s="1286">
        <v>52</v>
      </c>
      <c r="F57" s="1286">
        <v>30</v>
      </c>
      <c r="G57" s="1286">
        <v>14</v>
      </c>
      <c r="H57" s="1286">
        <v>42</v>
      </c>
      <c r="I57" s="1286">
        <v>25</v>
      </c>
      <c r="J57" s="1286">
        <v>21</v>
      </c>
      <c r="K57" s="1286">
        <v>38</v>
      </c>
      <c r="L57" s="1286">
        <v>20</v>
      </c>
      <c r="M57" s="1286">
        <v>45</v>
      </c>
      <c r="N57" s="1286">
        <v>33</v>
      </c>
      <c r="O57" s="1286">
        <v>19</v>
      </c>
      <c r="P57" s="1286">
        <v>935</v>
      </c>
      <c r="Q57" s="498">
        <v>42</v>
      </c>
      <c r="R57" s="679">
        <v>254</v>
      </c>
      <c r="S57" s="679">
        <v>16</v>
      </c>
      <c r="T57" s="679">
        <v>14</v>
      </c>
      <c r="U57" s="679">
        <v>31</v>
      </c>
      <c r="V57" s="679">
        <v>15</v>
      </c>
      <c r="W57" s="679">
        <v>7</v>
      </c>
      <c r="X57" s="679">
        <v>16</v>
      </c>
      <c r="Y57" s="679">
        <v>10</v>
      </c>
      <c r="Z57" s="679">
        <v>10</v>
      </c>
      <c r="AA57" s="679">
        <v>19</v>
      </c>
      <c r="AB57" s="679">
        <v>8</v>
      </c>
      <c r="AC57" s="679">
        <v>22</v>
      </c>
      <c r="AD57" s="679">
        <v>13</v>
      </c>
      <c r="AE57" s="679">
        <v>11</v>
      </c>
      <c r="AF57" s="679">
        <v>446</v>
      </c>
      <c r="AG57" s="498">
        <v>42</v>
      </c>
      <c r="AH57" s="1287">
        <v>277</v>
      </c>
      <c r="AI57" s="1287">
        <v>20</v>
      </c>
      <c r="AJ57" s="1287">
        <v>15</v>
      </c>
      <c r="AK57" s="1287">
        <v>21</v>
      </c>
      <c r="AL57" s="1287">
        <v>15</v>
      </c>
      <c r="AM57" s="1287">
        <v>7</v>
      </c>
      <c r="AN57" s="1287">
        <v>26</v>
      </c>
      <c r="AO57" s="1287">
        <v>15</v>
      </c>
      <c r="AP57" s="1287">
        <v>11</v>
      </c>
      <c r="AQ57" s="1287">
        <v>19</v>
      </c>
      <c r="AR57" s="1287">
        <v>12</v>
      </c>
      <c r="AS57" s="1287">
        <v>23</v>
      </c>
      <c r="AT57" s="1287">
        <v>20</v>
      </c>
      <c r="AU57" s="1287">
        <v>8</v>
      </c>
      <c r="AV57" s="1287">
        <v>489</v>
      </c>
    </row>
    <row r="58" spans="1:48">
      <c r="A58" s="498">
        <v>43</v>
      </c>
      <c r="B58" s="1286">
        <v>524</v>
      </c>
      <c r="C58" s="1286">
        <v>25</v>
      </c>
      <c r="D58" s="1286">
        <v>22</v>
      </c>
      <c r="E58" s="1286">
        <v>79</v>
      </c>
      <c r="F58" s="1286">
        <v>18</v>
      </c>
      <c r="G58" s="1286">
        <v>14</v>
      </c>
      <c r="H58" s="1286">
        <v>24</v>
      </c>
      <c r="I58" s="1286">
        <v>30</v>
      </c>
      <c r="J58" s="1286">
        <v>20</v>
      </c>
      <c r="K58" s="1286">
        <v>31</v>
      </c>
      <c r="L58" s="1286">
        <v>21</v>
      </c>
      <c r="M58" s="1286">
        <v>41</v>
      </c>
      <c r="N58" s="1286">
        <v>37</v>
      </c>
      <c r="O58" s="1286">
        <v>14</v>
      </c>
      <c r="P58" s="1286">
        <v>900</v>
      </c>
      <c r="Q58" s="498">
        <v>43</v>
      </c>
      <c r="R58" s="679">
        <v>226</v>
      </c>
      <c r="S58" s="679">
        <v>10</v>
      </c>
      <c r="T58" s="679">
        <v>13</v>
      </c>
      <c r="U58" s="679">
        <v>39</v>
      </c>
      <c r="V58" s="679">
        <v>8</v>
      </c>
      <c r="W58" s="679">
        <v>8</v>
      </c>
      <c r="X58" s="679">
        <v>13</v>
      </c>
      <c r="Y58" s="679">
        <v>16</v>
      </c>
      <c r="Z58" s="679">
        <v>11</v>
      </c>
      <c r="AA58" s="679">
        <v>19</v>
      </c>
      <c r="AB58" s="679">
        <v>11</v>
      </c>
      <c r="AC58" s="679">
        <v>20</v>
      </c>
      <c r="AD58" s="679">
        <v>15</v>
      </c>
      <c r="AE58" s="679">
        <v>10</v>
      </c>
      <c r="AF58" s="679">
        <v>419</v>
      </c>
      <c r="AG58" s="498">
        <v>43</v>
      </c>
      <c r="AH58" s="1287">
        <v>298</v>
      </c>
      <c r="AI58" s="1287">
        <v>15</v>
      </c>
      <c r="AJ58" s="1287">
        <v>9</v>
      </c>
      <c r="AK58" s="1287">
        <v>40</v>
      </c>
      <c r="AL58" s="1287">
        <v>10</v>
      </c>
      <c r="AM58" s="1287">
        <v>6</v>
      </c>
      <c r="AN58" s="1287">
        <v>11</v>
      </c>
      <c r="AO58" s="1287">
        <v>14</v>
      </c>
      <c r="AP58" s="1287">
        <v>9</v>
      </c>
      <c r="AQ58" s="1287">
        <v>12</v>
      </c>
      <c r="AR58" s="1287">
        <v>10</v>
      </c>
      <c r="AS58" s="1287">
        <v>21</v>
      </c>
      <c r="AT58" s="1287">
        <v>22</v>
      </c>
      <c r="AU58" s="1287">
        <v>4</v>
      </c>
      <c r="AV58" s="1287">
        <v>481</v>
      </c>
    </row>
    <row r="59" spans="1:48">
      <c r="A59" s="498">
        <v>44</v>
      </c>
      <c r="B59" s="1286">
        <v>530</v>
      </c>
      <c r="C59" s="1286">
        <v>44</v>
      </c>
      <c r="D59" s="1286">
        <v>22</v>
      </c>
      <c r="E59" s="1286">
        <v>50</v>
      </c>
      <c r="F59" s="1286">
        <v>17</v>
      </c>
      <c r="G59" s="1286">
        <v>18</v>
      </c>
      <c r="H59" s="1286">
        <v>44</v>
      </c>
      <c r="I59" s="1286">
        <v>28</v>
      </c>
      <c r="J59" s="1286">
        <v>29</v>
      </c>
      <c r="K59" s="1286">
        <v>45</v>
      </c>
      <c r="L59" s="1286">
        <v>26</v>
      </c>
      <c r="M59" s="1286">
        <v>50</v>
      </c>
      <c r="N59" s="1286">
        <v>32</v>
      </c>
      <c r="O59" s="1286">
        <v>23</v>
      </c>
      <c r="P59" s="1286">
        <v>958</v>
      </c>
      <c r="Q59" s="498">
        <v>44</v>
      </c>
      <c r="R59" s="679">
        <v>223</v>
      </c>
      <c r="S59" s="679">
        <v>28</v>
      </c>
      <c r="T59" s="679">
        <v>16</v>
      </c>
      <c r="U59" s="679">
        <v>26</v>
      </c>
      <c r="V59" s="679">
        <v>8</v>
      </c>
      <c r="W59" s="679">
        <v>11</v>
      </c>
      <c r="X59" s="679">
        <v>21</v>
      </c>
      <c r="Y59" s="679">
        <v>13</v>
      </c>
      <c r="Z59" s="679">
        <v>19</v>
      </c>
      <c r="AA59" s="679">
        <v>29</v>
      </c>
      <c r="AB59" s="679">
        <v>12</v>
      </c>
      <c r="AC59" s="679">
        <v>25</v>
      </c>
      <c r="AD59" s="679">
        <v>16</v>
      </c>
      <c r="AE59" s="679">
        <v>12</v>
      </c>
      <c r="AF59" s="679">
        <v>459</v>
      </c>
      <c r="AG59" s="498">
        <v>44</v>
      </c>
      <c r="AH59" s="1287">
        <v>307</v>
      </c>
      <c r="AI59" s="1287">
        <v>16</v>
      </c>
      <c r="AJ59" s="1287">
        <v>6</v>
      </c>
      <c r="AK59" s="1287">
        <v>24</v>
      </c>
      <c r="AL59" s="1287">
        <v>9</v>
      </c>
      <c r="AM59" s="1287">
        <v>7</v>
      </c>
      <c r="AN59" s="1287">
        <v>23</v>
      </c>
      <c r="AO59" s="1287">
        <v>15</v>
      </c>
      <c r="AP59" s="1287">
        <v>10</v>
      </c>
      <c r="AQ59" s="1287">
        <v>16</v>
      </c>
      <c r="AR59" s="1287">
        <v>14</v>
      </c>
      <c r="AS59" s="1287">
        <v>25</v>
      </c>
      <c r="AT59" s="1287">
        <v>16</v>
      </c>
      <c r="AU59" s="1287">
        <v>11</v>
      </c>
      <c r="AV59" s="1287">
        <v>499</v>
      </c>
    </row>
    <row r="60" spans="1:48">
      <c r="A60" s="498" t="s">
        <v>2328</v>
      </c>
      <c r="B60" s="1286">
        <v>2657</v>
      </c>
      <c r="C60" s="1286">
        <v>175</v>
      </c>
      <c r="D60" s="1286">
        <v>120</v>
      </c>
      <c r="E60" s="1286">
        <v>299</v>
      </c>
      <c r="F60" s="1286">
        <v>118</v>
      </c>
      <c r="G60" s="1286">
        <v>89</v>
      </c>
      <c r="H60" s="1286">
        <v>184</v>
      </c>
      <c r="I60" s="1286">
        <v>144</v>
      </c>
      <c r="J60" s="1286">
        <v>119</v>
      </c>
      <c r="K60" s="1286">
        <v>189</v>
      </c>
      <c r="L60" s="1286">
        <v>121</v>
      </c>
      <c r="M60" s="1286">
        <v>231</v>
      </c>
      <c r="N60" s="1286">
        <v>162</v>
      </c>
      <c r="O60" s="1286">
        <v>92</v>
      </c>
      <c r="P60" s="1286">
        <v>4700</v>
      </c>
      <c r="Q60" s="498" t="s">
        <v>2328</v>
      </c>
      <c r="R60" s="679">
        <v>1207</v>
      </c>
      <c r="S60" s="679">
        <v>99</v>
      </c>
      <c r="T60" s="679">
        <v>75</v>
      </c>
      <c r="U60" s="679">
        <v>153</v>
      </c>
      <c r="V60" s="679">
        <v>56</v>
      </c>
      <c r="W60" s="679">
        <v>49</v>
      </c>
      <c r="X60" s="679">
        <v>92</v>
      </c>
      <c r="Y60" s="679">
        <v>71</v>
      </c>
      <c r="Z60" s="679">
        <v>65</v>
      </c>
      <c r="AA60" s="679">
        <v>105</v>
      </c>
      <c r="AB60" s="679">
        <v>62</v>
      </c>
      <c r="AC60" s="679">
        <v>113</v>
      </c>
      <c r="AD60" s="679">
        <v>74</v>
      </c>
      <c r="AE60" s="679">
        <v>58</v>
      </c>
      <c r="AF60" s="679">
        <v>2279</v>
      </c>
      <c r="AG60" s="498" t="s">
        <v>2328</v>
      </c>
      <c r="AH60" s="1287">
        <v>1450</v>
      </c>
      <c r="AI60" s="1287">
        <v>76</v>
      </c>
      <c r="AJ60" s="1287">
        <v>45</v>
      </c>
      <c r="AK60" s="1287">
        <v>146</v>
      </c>
      <c r="AL60" s="1287">
        <v>62</v>
      </c>
      <c r="AM60" s="1287">
        <v>40</v>
      </c>
      <c r="AN60" s="1287">
        <v>92</v>
      </c>
      <c r="AO60" s="1287">
        <v>73</v>
      </c>
      <c r="AP60" s="1287">
        <v>54</v>
      </c>
      <c r="AQ60" s="1287">
        <v>84</v>
      </c>
      <c r="AR60" s="1287">
        <v>59</v>
      </c>
      <c r="AS60" s="1287">
        <v>118</v>
      </c>
      <c r="AT60" s="1287">
        <v>88</v>
      </c>
      <c r="AU60" s="1287">
        <v>34</v>
      </c>
      <c r="AV60" s="1287">
        <v>2421</v>
      </c>
    </row>
    <row r="61" spans="1:48">
      <c r="A61" s="498">
        <v>45</v>
      </c>
      <c r="B61" s="1286">
        <v>496</v>
      </c>
      <c r="C61" s="1286">
        <v>36</v>
      </c>
      <c r="D61" s="1286">
        <v>20</v>
      </c>
      <c r="E61" s="1286">
        <v>41</v>
      </c>
      <c r="F61" s="1286">
        <v>21</v>
      </c>
      <c r="G61" s="1286">
        <v>15</v>
      </c>
      <c r="H61" s="1286">
        <v>43</v>
      </c>
      <c r="I61" s="1286">
        <v>26</v>
      </c>
      <c r="J61" s="1286">
        <v>19</v>
      </c>
      <c r="K61" s="1286">
        <v>37</v>
      </c>
      <c r="L61" s="1286">
        <v>19</v>
      </c>
      <c r="M61" s="1286">
        <v>53</v>
      </c>
      <c r="N61" s="1286">
        <v>40</v>
      </c>
      <c r="O61" s="1286">
        <v>17</v>
      </c>
      <c r="P61" s="1286">
        <v>883</v>
      </c>
      <c r="Q61" s="498">
        <v>45</v>
      </c>
      <c r="R61" s="679">
        <v>230</v>
      </c>
      <c r="S61" s="679">
        <v>21</v>
      </c>
      <c r="T61" s="679">
        <v>11</v>
      </c>
      <c r="U61" s="679">
        <v>20</v>
      </c>
      <c r="V61" s="679">
        <v>7</v>
      </c>
      <c r="W61" s="679">
        <v>5</v>
      </c>
      <c r="X61" s="679">
        <v>22</v>
      </c>
      <c r="Y61" s="679">
        <v>13</v>
      </c>
      <c r="Z61" s="679">
        <v>10</v>
      </c>
      <c r="AA61" s="679">
        <v>20</v>
      </c>
      <c r="AB61" s="679">
        <v>10</v>
      </c>
      <c r="AC61" s="679">
        <v>30</v>
      </c>
      <c r="AD61" s="679">
        <v>25</v>
      </c>
      <c r="AE61" s="679">
        <v>9</v>
      </c>
      <c r="AF61" s="679">
        <v>433</v>
      </c>
      <c r="AG61" s="498">
        <v>45</v>
      </c>
      <c r="AH61" s="1287">
        <v>266</v>
      </c>
      <c r="AI61" s="1287">
        <v>15</v>
      </c>
      <c r="AJ61" s="1287">
        <v>9</v>
      </c>
      <c r="AK61" s="1287">
        <v>21</v>
      </c>
      <c r="AL61" s="1287">
        <v>14</v>
      </c>
      <c r="AM61" s="1287">
        <v>10</v>
      </c>
      <c r="AN61" s="1287">
        <v>21</v>
      </c>
      <c r="AO61" s="1287">
        <v>13</v>
      </c>
      <c r="AP61" s="1287">
        <v>9</v>
      </c>
      <c r="AQ61" s="1287">
        <v>17</v>
      </c>
      <c r="AR61" s="1287">
        <v>9</v>
      </c>
      <c r="AS61" s="1287">
        <v>23</v>
      </c>
      <c r="AT61" s="1287">
        <v>15</v>
      </c>
      <c r="AU61" s="1287">
        <v>8</v>
      </c>
      <c r="AV61" s="1287">
        <v>450</v>
      </c>
    </row>
    <row r="62" spans="1:48">
      <c r="A62" s="498">
        <v>46</v>
      </c>
      <c r="B62" s="1286">
        <v>451</v>
      </c>
      <c r="C62" s="1286">
        <v>38</v>
      </c>
      <c r="D62" s="1286">
        <v>18</v>
      </c>
      <c r="E62" s="1286">
        <v>47</v>
      </c>
      <c r="F62" s="1286">
        <v>15</v>
      </c>
      <c r="G62" s="1286">
        <v>11</v>
      </c>
      <c r="H62" s="1286">
        <v>26</v>
      </c>
      <c r="I62" s="1286">
        <v>23</v>
      </c>
      <c r="J62" s="1286">
        <v>20</v>
      </c>
      <c r="K62" s="1286">
        <v>24</v>
      </c>
      <c r="L62" s="1286">
        <v>25</v>
      </c>
      <c r="M62" s="1286">
        <v>34</v>
      </c>
      <c r="N62" s="1286">
        <v>29</v>
      </c>
      <c r="O62" s="1286">
        <v>15</v>
      </c>
      <c r="P62" s="1286">
        <v>776</v>
      </c>
      <c r="Q62" s="498">
        <v>46</v>
      </c>
      <c r="R62" s="679">
        <v>210</v>
      </c>
      <c r="S62" s="679">
        <v>17</v>
      </c>
      <c r="T62" s="679">
        <v>9</v>
      </c>
      <c r="U62" s="679">
        <v>26</v>
      </c>
      <c r="V62" s="679">
        <v>8</v>
      </c>
      <c r="W62" s="679">
        <v>7</v>
      </c>
      <c r="X62" s="679">
        <v>12</v>
      </c>
      <c r="Y62" s="679">
        <v>12</v>
      </c>
      <c r="Z62" s="679">
        <v>8</v>
      </c>
      <c r="AA62" s="679">
        <v>13</v>
      </c>
      <c r="AB62" s="679">
        <v>12</v>
      </c>
      <c r="AC62" s="679">
        <v>20</v>
      </c>
      <c r="AD62" s="679">
        <v>16</v>
      </c>
      <c r="AE62" s="679">
        <v>5</v>
      </c>
      <c r="AF62" s="679">
        <v>375</v>
      </c>
      <c r="AG62" s="498">
        <v>46</v>
      </c>
      <c r="AH62" s="1287">
        <v>241</v>
      </c>
      <c r="AI62" s="1287">
        <v>21</v>
      </c>
      <c r="AJ62" s="1287">
        <v>9</v>
      </c>
      <c r="AK62" s="1287">
        <v>21</v>
      </c>
      <c r="AL62" s="1287">
        <v>7</v>
      </c>
      <c r="AM62" s="1287">
        <v>4</v>
      </c>
      <c r="AN62" s="1287">
        <v>14</v>
      </c>
      <c r="AO62" s="1287">
        <v>11</v>
      </c>
      <c r="AP62" s="1287">
        <v>12</v>
      </c>
      <c r="AQ62" s="1287">
        <v>11</v>
      </c>
      <c r="AR62" s="1287">
        <v>13</v>
      </c>
      <c r="AS62" s="1287">
        <v>14</v>
      </c>
      <c r="AT62" s="1287">
        <v>13</v>
      </c>
      <c r="AU62" s="1287">
        <v>10</v>
      </c>
      <c r="AV62" s="1287">
        <v>401</v>
      </c>
    </row>
    <row r="63" spans="1:48">
      <c r="A63" s="498">
        <v>47</v>
      </c>
      <c r="B63" s="1286">
        <v>487</v>
      </c>
      <c r="C63" s="1286">
        <v>36</v>
      </c>
      <c r="D63" s="1286">
        <v>15</v>
      </c>
      <c r="E63" s="1286">
        <v>49</v>
      </c>
      <c r="F63" s="1286">
        <v>16</v>
      </c>
      <c r="G63" s="1286">
        <v>21</v>
      </c>
      <c r="H63" s="1286">
        <v>34</v>
      </c>
      <c r="I63" s="1286">
        <v>22</v>
      </c>
      <c r="J63" s="1286">
        <v>28</v>
      </c>
      <c r="K63" s="1286">
        <v>28</v>
      </c>
      <c r="L63" s="1286">
        <v>24</v>
      </c>
      <c r="M63" s="1286">
        <v>34</v>
      </c>
      <c r="N63" s="1286">
        <v>36</v>
      </c>
      <c r="O63" s="1286">
        <v>20</v>
      </c>
      <c r="P63" s="1286">
        <v>850</v>
      </c>
      <c r="Q63" s="498">
        <v>47</v>
      </c>
      <c r="R63" s="679">
        <v>228</v>
      </c>
      <c r="S63" s="679">
        <v>17</v>
      </c>
      <c r="T63" s="679">
        <v>8</v>
      </c>
      <c r="U63" s="679">
        <v>27</v>
      </c>
      <c r="V63" s="679">
        <v>8</v>
      </c>
      <c r="W63" s="679">
        <v>9</v>
      </c>
      <c r="X63" s="679">
        <v>18</v>
      </c>
      <c r="Y63" s="679">
        <v>13</v>
      </c>
      <c r="Z63" s="679">
        <v>16</v>
      </c>
      <c r="AA63" s="679">
        <v>9</v>
      </c>
      <c r="AB63" s="679">
        <v>14</v>
      </c>
      <c r="AC63" s="679">
        <v>18</v>
      </c>
      <c r="AD63" s="679">
        <v>13</v>
      </c>
      <c r="AE63" s="679">
        <v>13</v>
      </c>
      <c r="AF63" s="679">
        <v>411</v>
      </c>
      <c r="AG63" s="498">
        <v>47</v>
      </c>
      <c r="AH63" s="1287">
        <v>259</v>
      </c>
      <c r="AI63" s="1287">
        <v>19</v>
      </c>
      <c r="AJ63" s="1287">
        <v>7</v>
      </c>
      <c r="AK63" s="1287">
        <v>22</v>
      </c>
      <c r="AL63" s="1287">
        <v>8</v>
      </c>
      <c r="AM63" s="1287">
        <v>12</v>
      </c>
      <c r="AN63" s="1287">
        <v>16</v>
      </c>
      <c r="AO63" s="1287">
        <v>9</v>
      </c>
      <c r="AP63" s="1287">
        <v>12</v>
      </c>
      <c r="AQ63" s="1287">
        <v>19</v>
      </c>
      <c r="AR63" s="1287">
        <v>10</v>
      </c>
      <c r="AS63" s="1287">
        <v>16</v>
      </c>
      <c r="AT63" s="1287">
        <v>23</v>
      </c>
      <c r="AU63" s="1287">
        <v>7</v>
      </c>
      <c r="AV63" s="1287">
        <v>439</v>
      </c>
    </row>
    <row r="64" spans="1:48">
      <c r="A64" s="498">
        <v>48</v>
      </c>
      <c r="B64" s="1286">
        <v>521</v>
      </c>
      <c r="C64" s="1286">
        <v>38</v>
      </c>
      <c r="D64" s="1286">
        <v>24</v>
      </c>
      <c r="E64" s="1286">
        <v>56</v>
      </c>
      <c r="F64" s="1286">
        <v>22</v>
      </c>
      <c r="G64" s="1286">
        <v>19</v>
      </c>
      <c r="H64" s="1286">
        <v>35</v>
      </c>
      <c r="I64" s="1286">
        <v>33</v>
      </c>
      <c r="J64" s="1286">
        <v>26</v>
      </c>
      <c r="K64" s="1286">
        <v>38</v>
      </c>
      <c r="L64" s="1286">
        <v>26</v>
      </c>
      <c r="M64" s="1286">
        <v>39</v>
      </c>
      <c r="N64" s="1286">
        <v>36</v>
      </c>
      <c r="O64" s="1286">
        <v>21</v>
      </c>
      <c r="P64" s="1286">
        <v>934</v>
      </c>
      <c r="Q64" s="498">
        <v>48</v>
      </c>
      <c r="R64" s="679">
        <v>251</v>
      </c>
      <c r="S64" s="679">
        <v>17</v>
      </c>
      <c r="T64" s="679">
        <v>10</v>
      </c>
      <c r="U64" s="679">
        <v>30</v>
      </c>
      <c r="V64" s="679">
        <v>13</v>
      </c>
      <c r="W64" s="679">
        <v>14</v>
      </c>
      <c r="X64" s="679">
        <v>15</v>
      </c>
      <c r="Y64" s="679">
        <v>15</v>
      </c>
      <c r="Z64" s="679">
        <v>12</v>
      </c>
      <c r="AA64" s="679">
        <v>22</v>
      </c>
      <c r="AB64" s="679">
        <v>9</v>
      </c>
      <c r="AC64" s="679">
        <v>24</v>
      </c>
      <c r="AD64" s="679">
        <v>19</v>
      </c>
      <c r="AE64" s="679">
        <v>13</v>
      </c>
      <c r="AF64" s="679">
        <v>464</v>
      </c>
      <c r="AG64" s="498">
        <v>48</v>
      </c>
      <c r="AH64" s="1287">
        <v>270</v>
      </c>
      <c r="AI64" s="1287">
        <v>21</v>
      </c>
      <c r="AJ64" s="1287">
        <v>14</v>
      </c>
      <c r="AK64" s="1287">
        <v>26</v>
      </c>
      <c r="AL64" s="1287">
        <v>9</v>
      </c>
      <c r="AM64" s="1287">
        <v>5</v>
      </c>
      <c r="AN64" s="1287">
        <v>20</v>
      </c>
      <c r="AO64" s="1287">
        <v>18</v>
      </c>
      <c r="AP64" s="1287">
        <v>14</v>
      </c>
      <c r="AQ64" s="1287">
        <v>16</v>
      </c>
      <c r="AR64" s="1287">
        <v>17</v>
      </c>
      <c r="AS64" s="1287">
        <v>15</v>
      </c>
      <c r="AT64" s="1287">
        <v>17</v>
      </c>
      <c r="AU64" s="1287">
        <v>8</v>
      </c>
      <c r="AV64" s="1287">
        <v>470</v>
      </c>
    </row>
    <row r="65" spans="1:48">
      <c r="A65" s="498">
        <v>49</v>
      </c>
      <c r="B65" s="1286">
        <v>508</v>
      </c>
      <c r="C65" s="1286">
        <v>35</v>
      </c>
      <c r="D65" s="1286">
        <v>32</v>
      </c>
      <c r="E65" s="1286">
        <v>57</v>
      </c>
      <c r="F65" s="1286">
        <v>18</v>
      </c>
      <c r="G65" s="1286">
        <v>11</v>
      </c>
      <c r="H65" s="1286">
        <v>32</v>
      </c>
      <c r="I65" s="1286">
        <v>35</v>
      </c>
      <c r="J65" s="1286">
        <v>18</v>
      </c>
      <c r="K65" s="1286">
        <v>32</v>
      </c>
      <c r="L65" s="1286">
        <v>22</v>
      </c>
      <c r="M65" s="1286">
        <v>37</v>
      </c>
      <c r="N65" s="1286">
        <v>20</v>
      </c>
      <c r="O65" s="1286">
        <v>19</v>
      </c>
      <c r="P65" s="1286">
        <v>876</v>
      </c>
      <c r="Q65" s="498">
        <v>49</v>
      </c>
      <c r="R65" s="679">
        <v>232</v>
      </c>
      <c r="S65" s="679">
        <v>18</v>
      </c>
      <c r="T65" s="679">
        <v>19</v>
      </c>
      <c r="U65" s="679">
        <v>27</v>
      </c>
      <c r="V65" s="679">
        <v>10</v>
      </c>
      <c r="W65" s="679">
        <v>6</v>
      </c>
      <c r="X65" s="679">
        <v>18</v>
      </c>
      <c r="Y65" s="679">
        <v>16</v>
      </c>
      <c r="Z65" s="679">
        <v>9</v>
      </c>
      <c r="AA65" s="679">
        <v>16</v>
      </c>
      <c r="AB65" s="679">
        <v>10</v>
      </c>
      <c r="AC65" s="679">
        <v>20</v>
      </c>
      <c r="AD65" s="679">
        <v>12</v>
      </c>
      <c r="AE65" s="679">
        <v>5</v>
      </c>
      <c r="AF65" s="679">
        <v>418</v>
      </c>
      <c r="AG65" s="498">
        <v>49</v>
      </c>
      <c r="AH65" s="1287">
        <v>276</v>
      </c>
      <c r="AI65" s="1287">
        <v>17</v>
      </c>
      <c r="AJ65" s="1287">
        <v>13</v>
      </c>
      <c r="AK65" s="1287">
        <v>30</v>
      </c>
      <c r="AL65" s="1287">
        <v>8</v>
      </c>
      <c r="AM65" s="1287">
        <v>5</v>
      </c>
      <c r="AN65" s="1287">
        <v>14</v>
      </c>
      <c r="AO65" s="1287">
        <v>19</v>
      </c>
      <c r="AP65" s="1287">
        <v>9</v>
      </c>
      <c r="AQ65" s="1287">
        <v>16</v>
      </c>
      <c r="AR65" s="1287">
        <v>12</v>
      </c>
      <c r="AS65" s="1287">
        <v>17</v>
      </c>
      <c r="AT65" s="1287">
        <v>8</v>
      </c>
      <c r="AU65" s="1287">
        <v>14</v>
      </c>
      <c r="AV65" s="1287">
        <v>458</v>
      </c>
    </row>
    <row r="66" spans="1:48">
      <c r="A66" s="1288" t="s">
        <v>2329</v>
      </c>
      <c r="B66" s="1286">
        <v>2463</v>
      </c>
      <c r="C66" s="1286">
        <v>183</v>
      </c>
      <c r="D66" s="1286">
        <v>109</v>
      </c>
      <c r="E66" s="1286">
        <v>250</v>
      </c>
      <c r="F66" s="1286">
        <v>92</v>
      </c>
      <c r="G66" s="1286">
        <v>77</v>
      </c>
      <c r="H66" s="1286">
        <v>170</v>
      </c>
      <c r="I66" s="1286">
        <v>139</v>
      </c>
      <c r="J66" s="1286">
        <v>111</v>
      </c>
      <c r="K66" s="1286">
        <v>159</v>
      </c>
      <c r="L66" s="1286">
        <v>116</v>
      </c>
      <c r="M66" s="1286">
        <v>197</v>
      </c>
      <c r="N66" s="1286">
        <v>161</v>
      </c>
      <c r="O66" s="1286">
        <v>92</v>
      </c>
      <c r="P66" s="1286">
        <v>4319</v>
      </c>
      <c r="Q66" s="1288" t="s">
        <v>2329</v>
      </c>
      <c r="R66" s="679">
        <v>1151</v>
      </c>
      <c r="S66" s="679">
        <v>90</v>
      </c>
      <c r="T66" s="679">
        <v>57</v>
      </c>
      <c r="U66" s="679">
        <v>130</v>
      </c>
      <c r="V66" s="679">
        <v>46</v>
      </c>
      <c r="W66" s="679">
        <v>41</v>
      </c>
      <c r="X66" s="679">
        <v>85</v>
      </c>
      <c r="Y66" s="679">
        <v>69</v>
      </c>
      <c r="Z66" s="679">
        <v>55</v>
      </c>
      <c r="AA66" s="679">
        <v>80</v>
      </c>
      <c r="AB66" s="679">
        <v>55</v>
      </c>
      <c r="AC66" s="679">
        <v>112</v>
      </c>
      <c r="AD66" s="679">
        <v>85</v>
      </c>
      <c r="AE66" s="679">
        <v>45</v>
      </c>
      <c r="AF66" s="679">
        <v>2101</v>
      </c>
      <c r="AG66" s="1288" t="s">
        <v>2329</v>
      </c>
      <c r="AH66" s="1287">
        <v>1312</v>
      </c>
      <c r="AI66" s="1287">
        <v>93</v>
      </c>
      <c r="AJ66" s="1287">
        <v>52</v>
      </c>
      <c r="AK66" s="1287">
        <v>120</v>
      </c>
      <c r="AL66" s="1287">
        <v>46</v>
      </c>
      <c r="AM66" s="1287">
        <v>36</v>
      </c>
      <c r="AN66" s="1287">
        <v>85</v>
      </c>
      <c r="AO66" s="1287">
        <v>70</v>
      </c>
      <c r="AP66" s="1287">
        <v>56</v>
      </c>
      <c r="AQ66" s="1287">
        <v>79</v>
      </c>
      <c r="AR66" s="1287">
        <v>61</v>
      </c>
      <c r="AS66" s="1287">
        <v>85</v>
      </c>
      <c r="AT66" s="1287">
        <v>76</v>
      </c>
      <c r="AU66" s="1287">
        <v>47</v>
      </c>
      <c r="AV66" s="1287">
        <v>2218</v>
      </c>
    </row>
    <row r="67" spans="1:48">
      <c r="A67" s="498">
        <v>50</v>
      </c>
      <c r="B67" s="1286">
        <v>462</v>
      </c>
      <c r="C67" s="1286">
        <v>25</v>
      </c>
      <c r="D67" s="1286">
        <v>23</v>
      </c>
      <c r="E67" s="1286">
        <v>51</v>
      </c>
      <c r="F67" s="1286">
        <v>28</v>
      </c>
      <c r="G67" s="1286">
        <v>15</v>
      </c>
      <c r="H67" s="1286">
        <v>30</v>
      </c>
      <c r="I67" s="1286">
        <v>24</v>
      </c>
      <c r="J67" s="1286">
        <v>24</v>
      </c>
      <c r="K67" s="1286">
        <v>31</v>
      </c>
      <c r="L67" s="1286">
        <v>23</v>
      </c>
      <c r="M67" s="1286">
        <v>34</v>
      </c>
      <c r="N67" s="1286">
        <v>32</v>
      </c>
      <c r="O67" s="1286">
        <v>19</v>
      </c>
      <c r="P67" s="1286">
        <v>821</v>
      </c>
      <c r="Q67" s="498">
        <v>50</v>
      </c>
      <c r="R67" s="679">
        <v>218</v>
      </c>
      <c r="S67" s="679">
        <v>15</v>
      </c>
      <c r="T67" s="679">
        <v>15</v>
      </c>
      <c r="U67" s="679">
        <v>28</v>
      </c>
      <c r="V67" s="679">
        <v>13</v>
      </c>
      <c r="W67" s="679">
        <v>4</v>
      </c>
      <c r="X67" s="679">
        <v>14</v>
      </c>
      <c r="Y67" s="679">
        <v>14</v>
      </c>
      <c r="Z67" s="679">
        <v>17</v>
      </c>
      <c r="AA67" s="679">
        <v>12</v>
      </c>
      <c r="AB67" s="679">
        <v>7</v>
      </c>
      <c r="AC67" s="679">
        <v>13</v>
      </c>
      <c r="AD67" s="679">
        <v>10</v>
      </c>
      <c r="AE67" s="679">
        <v>9</v>
      </c>
      <c r="AF67" s="679">
        <v>389</v>
      </c>
      <c r="AG67" s="498">
        <v>50</v>
      </c>
      <c r="AH67" s="1287">
        <v>244</v>
      </c>
      <c r="AI67" s="1287">
        <v>10</v>
      </c>
      <c r="AJ67" s="1287">
        <v>8</v>
      </c>
      <c r="AK67" s="1287">
        <v>23</v>
      </c>
      <c r="AL67" s="1287">
        <v>15</v>
      </c>
      <c r="AM67" s="1287">
        <v>11</v>
      </c>
      <c r="AN67" s="1287">
        <v>16</v>
      </c>
      <c r="AO67" s="1287">
        <v>10</v>
      </c>
      <c r="AP67" s="1287">
        <v>7</v>
      </c>
      <c r="AQ67" s="1287">
        <v>19</v>
      </c>
      <c r="AR67" s="1287">
        <v>16</v>
      </c>
      <c r="AS67" s="1287">
        <v>21</v>
      </c>
      <c r="AT67" s="1287">
        <v>22</v>
      </c>
      <c r="AU67" s="1287">
        <v>10</v>
      </c>
      <c r="AV67" s="1287">
        <v>432</v>
      </c>
    </row>
    <row r="68" spans="1:48">
      <c r="A68" s="498">
        <v>51</v>
      </c>
      <c r="B68" s="1286">
        <v>419</v>
      </c>
      <c r="C68" s="1286">
        <v>28</v>
      </c>
      <c r="D68" s="1286">
        <v>23</v>
      </c>
      <c r="E68" s="1286">
        <v>43</v>
      </c>
      <c r="F68" s="1286">
        <v>19</v>
      </c>
      <c r="G68" s="1286">
        <v>8</v>
      </c>
      <c r="H68" s="1286">
        <v>34</v>
      </c>
      <c r="I68" s="1286">
        <v>24</v>
      </c>
      <c r="J68" s="1286">
        <v>22</v>
      </c>
      <c r="K68" s="1286">
        <v>29</v>
      </c>
      <c r="L68" s="1286">
        <v>14</v>
      </c>
      <c r="M68" s="1286">
        <v>33</v>
      </c>
      <c r="N68" s="1286">
        <v>24</v>
      </c>
      <c r="O68" s="1286">
        <v>12</v>
      </c>
      <c r="P68" s="1286">
        <v>732</v>
      </c>
      <c r="Q68" s="498">
        <v>51</v>
      </c>
      <c r="R68" s="679">
        <v>187</v>
      </c>
      <c r="S68" s="679">
        <v>16</v>
      </c>
      <c r="T68" s="679">
        <v>12</v>
      </c>
      <c r="U68" s="679">
        <v>14</v>
      </c>
      <c r="V68" s="679">
        <v>9</v>
      </c>
      <c r="W68" s="679">
        <v>6</v>
      </c>
      <c r="X68" s="679">
        <v>19</v>
      </c>
      <c r="Y68" s="679">
        <v>13</v>
      </c>
      <c r="Z68" s="679">
        <v>11</v>
      </c>
      <c r="AA68" s="679">
        <v>13</v>
      </c>
      <c r="AB68" s="679">
        <v>9</v>
      </c>
      <c r="AC68" s="679">
        <v>14</v>
      </c>
      <c r="AD68" s="679">
        <v>14</v>
      </c>
      <c r="AE68" s="679">
        <v>5</v>
      </c>
      <c r="AF68" s="679">
        <v>342</v>
      </c>
      <c r="AG68" s="498">
        <v>51</v>
      </c>
      <c r="AH68" s="1287">
        <v>232</v>
      </c>
      <c r="AI68" s="1287">
        <v>12</v>
      </c>
      <c r="AJ68" s="1287">
        <v>11</v>
      </c>
      <c r="AK68" s="1287">
        <v>29</v>
      </c>
      <c r="AL68" s="1287">
        <v>10</v>
      </c>
      <c r="AM68" s="1287">
        <v>2</v>
      </c>
      <c r="AN68" s="1287">
        <v>15</v>
      </c>
      <c r="AO68" s="1287">
        <v>11</v>
      </c>
      <c r="AP68" s="1287">
        <v>11</v>
      </c>
      <c r="AQ68" s="1287">
        <v>16</v>
      </c>
      <c r="AR68" s="1287">
        <v>5</v>
      </c>
      <c r="AS68" s="1287">
        <v>19</v>
      </c>
      <c r="AT68" s="1287">
        <v>10</v>
      </c>
      <c r="AU68" s="1287">
        <v>7</v>
      </c>
      <c r="AV68" s="1287">
        <v>390</v>
      </c>
    </row>
    <row r="69" spans="1:48">
      <c r="A69" s="498">
        <v>52</v>
      </c>
      <c r="B69" s="1286">
        <v>447</v>
      </c>
      <c r="C69" s="1286">
        <v>32</v>
      </c>
      <c r="D69" s="1286">
        <v>16</v>
      </c>
      <c r="E69" s="1286">
        <v>42</v>
      </c>
      <c r="F69" s="1286">
        <v>26</v>
      </c>
      <c r="G69" s="1286">
        <v>15</v>
      </c>
      <c r="H69" s="1286">
        <v>41</v>
      </c>
      <c r="I69" s="1286">
        <v>31</v>
      </c>
      <c r="J69" s="1286">
        <v>28</v>
      </c>
      <c r="K69" s="1286">
        <v>31</v>
      </c>
      <c r="L69" s="1286">
        <v>26</v>
      </c>
      <c r="M69" s="1286">
        <v>36</v>
      </c>
      <c r="N69" s="1286">
        <v>26</v>
      </c>
      <c r="O69" s="1286">
        <v>16</v>
      </c>
      <c r="P69" s="1286">
        <v>813</v>
      </c>
      <c r="Q69" s="498">
        <v>52</v>
      </c>
      <c r="R69" s="679">
        <v>195</v>
      </c>
      <c r="S69" s="679">
        <v>17</v>
      </c>
      <c r="T69" s="679">
        <v>5</v>
      </c>
      <c r="U69" s="679">
        <v>16</v>
      </c>
      <c r="V69" s="679">
        <v>17</v>
      </c>
      <c r="W69" s="679">
        <v>8</v>
      </c>
      <c r="X69" s="679">
        <v>26</v>
      </c>
      <c r="Y69" s="679">
        <v>18</v>
      </c>
      <c r="Z69" s="679">
        <v>13</v>
      </c>
      <c r="AA69" s="679">
        <v>15</v>
      </c>
      <c r="AB69" s="679">
        <v>14</v>
      </c>
      <c r="AC69" s="679">
        <v>18</v>
      </c>
      <c r="AD69" s="679">
        <v>9</v>
      </c>
      <c r="AE69" s="679">
        <v>5</v>
      </c>
      <c r="AF69" s="679">
        <v>376</v>
      </c>
      <c r="AG69" s="498">
        <v>52</v>
      </c>
      <c r="AH69" s="1287">
        <v>252</v>
      </c>
      <c r="AI69" s="1287">
        <v>15</v>
      </c>
      <c r="AJ69" s="1287">
        <v>11</v>
      </c>
      <c r="AK69" s="1287">
        <v>26</v>
      </c>
      <c r="AL69" s="1287">
        <v>9</v>
      </c>
      <c r="AM69" s="1287">
        <v>7</v>
      </c>
      <c r="AN69" s="1287">
        <v>15</v>
      </c>
      <c r="AO69" s="1287">
        <v>13</v>
      </c>
      <c r="AP69" s="1287">
        <v>15</v>
      </c>
      <c r="AQ69" s="1287">
        <v>16</v>
      </c>
      <c r="AR69" s="1287">
        <v>12</v>
      </c>
      <c r="AS69" s="1287">
        <v>18</v>
      </c>
      <c r="AT69" s="1287">
        <v>17</v>
      </c>
      <c r="AU69" s="1287">
        <v>11</v>
      </c>
      <c r="AV69" s="1287">
        <v>437</v>
      </c>
    </row>
    <row r="70" spans="1:48">
      <c r="A70" s="498">
        <v>53</v>
      </c>
      <c r="B70" s="1286">
        <v>430</v>
      </c>
      <c r="C70" s="1286">
        <v>25</v>
      </c>
      <c r="D70" s="1286">
        <v>23</v>
      </c>
      <c r="E70" s="1286">
        <v>49</v>
      </c>
      <c r="F70" s="1286">
        <v>11</v>
      </c>
      <c r="G70" s="1286">
        <v>6</v>
      </c>
      <c r="H70" s="1286">
        <v>30</v>
      </c>
      <c r="I70" s="1286">
        <v>29</v>
      </c>
      <c r="J70" s="1286">
        <v>23</v>
      </c>
      <c r="K70" s="1286">
        <v>27</v>
      </c>
      <c r="L70" s="1286">
        <v>11</v>
      </c>
      <c r="M70" s="1286">
        <v>33</v>
      </c>
      <c r="N70" s="1286">
        <v>32</v>
      </c>
      <c r="O70" s="1286">
        <v>11</v>
      </c>
      <c r="P70" s="1286">
        <v>740</v>
      </c>
      <c r="Q70" s="498">
        <v>53</v>
      </c>
      <c r="R70" s="679">
        <v>199</v>
      </c>
      <c r="S70" s="679">
        <v>14</v>
      </c>
      <c r="T70" s="679">
        <v>9</v>
      </c>
      <c r="U70" s="679">
        <v>20</v>
      </c>
      <c r="V70" s="679">
        <v>4</v>
      </c>
      <c r="W70" s="679">
        <v>5</v>
      </c>
      <c r="X70" s="679">
        <v>14</v>
      </c>
      <c r="Y70" s="679">
        <v>13</v>
      </c>
      <c r="Z70" s="679">
        <v>11</v>
      </c>
      <c r="AA70" s="679">
        <v>12</v>
      </c>
      <c r="AB70" s="679">
        <v>3</v>
      </c>
      <c r="AC70" s="679">
        <v>14</v>
      </c>
      <c r="AD70" s="679">
        <v>17</v>
      </c>
      <c r="AE70" s="679">
        <v>5</v>
      </c>
      <c r="AF70" s="679">
        <v>340</v>
      </c>
      <c r="AG70" s="498">
        <v>53</v>
      </c>
      <c r="AH70" s="1287">
        <v>231</v>
      </c>
      <c r="AI70" s="1287">
        <v>11</v>
      </c>
      <c r="AJ70" s="1287">
        <v>14</v>
      </c>
      <c r="AK70" s="1287">
        <v>29</v>
      </c>
      <c r="AL70" s="1287">
        <v>7</v>
      </c>
      <c r="AM70" s="1287">
        <v>1</v>
      </c>
      <c r="AN70" s="1287">
        <v>16</v>
      </c>
      <c r="AO70" s="1287">
        <v>16</v>
      </c>
      <c r="AP70" s="1287">
        <v>12</v>
      </c>
      <c r="AQ70" s="1287">
        <v>15</v>
      </c>
      <c r="AR70" s="1287">
        <v>8</v>
      </c>
      <c r="AS70" s="1287">
        <v>19</v>
      </c>
      <c r="AT70" s="1287">
        <v>15</v>
      </c>
      <c r="AU70" s="1287">
        <v>6</v>
      </c>
      <c r="AV70" s="1287">
        <v>400</v>
      </c>
    </row>
    <row r="71" spans="1:48">
      <c r="A71" s="498">
        <v>54</v>
      </c>
      <c r="B71" s="1286">
        <v>399</v>
      </c>
      <c r="C71" s="1286">
        <v>39</v>
      </c>
      <c r="D71" s="1286">
        <v>23</v>
      </c>
      <c r="E71" s="1286">
        <v>47</v>
      </c>
      <c r="F71" s="1286">
        <v>19</v>
      </c>
      <c r="G71" s="1286">
        <v>6</v>
      </c>
      <c r="H71" s="1286">
        <v>31</v>
      </c>
      <c r="I71" s="1286">
        <v>16</v>
      </c>
      <c r="J71" s="1286">
        <v>19</v>
      </c>
      <c r="K71" s="1286">
        <v>30</v>
      </c>
      <c r="L71" s="1286">
        <v>22</v>
      </c>
      <c r="M71" s="1286">
        <v>27</v>
      </c>
      <c r="N71" s="1286">
        <v>34</v>
      </c>
      <c r="O71" s="1286">
        <v>19</v>
      </c>
      <c r="P71" s="1286">
        <v>731</v>
      </c>
      <c r="Q71" s="498">
        <v>54</v>
      </c>
      <c r="R71" s="679">
        <v>176</v>
      </c>
      <c r="S71" s="679">
        <v>23</v>
      </c>
      <c r="T71" s="679">
        <v>6</v>
      </c>
      <c r="U71" s="679">
        <v>26</v>
      </c>
      <c r="V71" s="679">
        <v>9</v>
      </c>
      <c r="W71" s="679">
        <v>2</v>
      </c>
      <c r="X71" s="679">
        <v>14</v>
      </c>
      <c r="Y71" s="679">
        <v>8</v>
      </c>
      <c r="Z71" s="679">
        <v>13</v>
      </c>
      <c r="AA71" s="679">
        <v>14</v>
      </c>
      <c r="AB71" s="679">
        <v>14</v>
      </c>
      <c r="AC71" s="679">
        <v>8</v>
      </c>
      <c r="AD71" s="679">
        <v>17</v>
      </c>
      <c r="AE71" s="679">
        <v>9</v>
      </c>
      <c r="AF71" s="679">
        <v>339</v>
      </c>
      <c r="AG71" s="498">
        <v>54</v>
      </c>
      <c r="AH71" s="1287">
        <v>223</v>
      </c>
      <c r="AI71" s="1287">
        <v>16</v>
      </c>
      <c r="AJ71" s="1287">
        <v>17</v>
      </c>
      <c r="AK71" s="1287">
        <v>21</v>
      </c>
      <c r="AL71" s="1287">
        <v>10</v>
      </c>
      <c r="AM71" s="1287">
        <v>4</v>
      </c>
      <c r="AN71" s="1287">
        <v>17</v>
      </c>
      <c r="AO71" s="1287">
        <v>8</v>
      </c>
      <c r="AP71" s="1287">
        <v>6</v>
      </c>
      <c r="AQ71" s="1287">
        <v>16</v>
      </c>
      <c r="AR71" s="1287">
        <v>8</v>
      </c>
      <c r="AS71" s="1287">
        <v>19</v>
      </c>
      <c r="AT71" s="1287">
        <v>17</v>
      </c>
      <c r="AU71" s="1287">
        <v>10</v>
      </c>
      <c r="AV71" s="1287">
        <v>392</v>
      </c>
    </row>
    <row r="72" spans="1:48">
      <c r="A72" s="498" t="s">
        <v>2330</v>
      </c>
      <c r="B72" s="1286">
        <v>2157</v>
      </c>
      <c r="C72" s="1286">
        <v>149</v>
      </c>
      <c r="D72" s="1286">
        <v>108</v>
      </c>
      <c r="E72" s="1286">
        <v>232</v>
      </c>
      <c r="F72" s="1286">
        <v>103</v>
      </c>
      <c r="G72" s="1286">
        <v>50</v>
      </c>
      <c r="H72" s="1286">
        <v>166</v>
      </c>
      <c r="I72" s="1286">
        <v>124</v>
      </c>
      <c r="J72" s="1286">
        <v>116</v>
      </c>
      <c r="K72" s="1286">
        <v>148</v>
      </c>
      <c r="L72" s="1286">
        <v>96</v>
      </c>
      <c r="M72" s="1286">
        <v>163</v>
      </c>
      <c r="N72" s="1286">
        <v>148</v>
      </c>
      <c r="O72" s="1286">
        <v>77</v>
      </c>
      <c r="P72" s="1286">
        <v>3837</v>
      </c>
      <c r="Q72" s="498" t="s">
        <v>2330</v>
      </c>
      <c r="R72" s="679">
        <v>975</v>
      </c>
      <c r="S72" s="679">
        <v>85</v>
      </c>
      <c r="T72" s="679">
        <v>47</v>
      </c>
      <c r="U72" s="679">
        <v>104</v>
      </c>
      <c r="V72" s="679">
        <v>52</v>
      </c>
      <c r="W72" s="679">
        <v>25</v>
      </c>
      <c r="X72" s="679">
        <v>87</v>
      </c>
      <c r="Y72" s="679">
        <v>66</v>
      </c>
      <c r="Z72" s="679">
        <v>65</v>
      </c>
      <c r="AA72" s="679">
        <v>66</v>
      </c>
      <c r="AB72" s="679">
        <v>47</v>
      </c>
      <c r="AC72" s="679">
        <v>67</v>
      </c>
      <c r="AD72" s="679">
        <v>67</v>
      </c>
      <c r="AE72" s="679">
        <v>33</v>
      </c>
      <c r="AF72" s="679">
        <v>1786</v>
      </c>
      <c r="AG72" s="498" t="s">
        <v>2330</v>
      </c>
      <c r="AH72" s="1287">
        <v>1182</v>
      </c>
      <c r="AI72" s="1287">
        <v>64</v>
      </c>
      <c r="AJ72" s="1287">
        <v>61</v>
      </c>
      <c r="AK72" s="1287">
        <v>128</v>
      </c>
      <c r="AL72" s="1287">
        <v>51</v>
      </c>
      <c r="AM72" s="1287">
        <v>25</v>
      </c>
      <c r="AN72" s="1287">
        <v>79</v>
      </c>
      <c r="AO72" s="1287">
        <v>58</v>
      </c>
      <c r="AP72" s="1287">
        <v>51</v>
      </c>
      <c r="AQ72" s="1287">
        <v>82</v>
      </c>
      <c r="AR72" s="1287">
        <v>49</v>
      </c>
      <c r="AS72" s="1287">
        <v>96</v>
      </c>
      <c r="AT72" s="1287">
        <v>81</v>
      </c>
      <c r="AU72" s="1287">
        <v>44</v>
      </c>
      <c r="AV72" s="1287">
        <v>2051</v>
      </c>
    </row>
    <row r="73" spans="1:48">
      <c r="A73" s="498">
        <v>55</v>
      </c>
      <c r="B73" s="1286">
        <v>336</v>
      </c>
      <c r="C73" s="1286">
        <v>24</v>
      </c>
      <c r="D73" s="1286">
        <v>27</v>
      </c>
      <c r="E73" s="1286">
        <v>41</v>
      </c>
      <c r="F73" s="1286">
        <v>13</v>
      </c>
      <c r="G73" s="1286">
        <v>11</v>
      </c>
      <c r="H73" s="1286">
        <v>24</v>
      </c>
      <c r="I73" s="1286">
        <v>13</v>
      </c>
      <c r="J73" s="1286">
        <v>23</v>
      </c>
      <c r="K73" s="1286">
        <v>23</v>
      </c>
      <c r="L73" s="1286">
        <v>13</v>
      </c>
      <c r="M73" s="1286">
        <v>35</v>
      </c>
      <c r="N73" s="1286">
        <v>22</v>
      </c>
      <c r="O73" s="1286">
        <v>19</v>
      </c>
      <c r="P73" s="1286">
        <v>624</v>
      </c>
      <c r="Q73" s="498">
        <v>55</v>
      </c>
      <c r="R73" s="679">
        <v>154</v>
      </c>
      <c r="S73" s="679">
        <v>12</v>
      </c>
      <c r="T73" s="679">
        <v>18</v>
      </c>
      <c r="U73" s="679">
        <v>21</v>
      </c>
      <c r="V73" s="679">
        <v>3</v>
      </c>
      <c r="W73" s="679">
        <v>7</v>
      </c>
      <c r="X73" s="679">
        <v>8</v>
      </c>
      <c r="Y73" s="679">
        <v>8</v>
      </c>
      <c r="Z73" s="679">
        <v>9</v>
      </c>
      <c r="AA73" s="679">
        <v>12</v>
      </c>
      <c r="AB73" s="679">
        <v>6</v>
      </c>
      <c r="AC73" s="679">
        <v>20</v>
      </c>
      <c r="AD73" s="679">
        <v>15</v>
      </c>
      <c r="AE73" s="679">
        <v>9</v>
      </c>
      <c r="AF73" s="679">
        <v>302</v>
      </c>
      <c r="AG73" s="498">
        <v>55</v>
      </c>
      <c r="AH73" s="1287">
        <v>182</v>
      </c>
      <c r="AI73" s="1287">
        <v>12</v>
      </c>
      <c r="AJ73" s="1287">
        <v>9</v>
      </c>
      <c r="AK73" s="1287">
        <v>20</v>
      </c>
      <c r="AL73" s="1287">
        <v>10</v>
      </c>
      <c r="AM73" s="1287">
        <v>4</v>
      </c>
      <c r="AN73" s="1287">
        <v>16</v>
      </c>
      <c r="AO73" s="1287">
        <v>5</v>
      </c>
      <c r="AP73" s="1287">
        <v>14</v>
      </c>
      <c r="AQ73" s="1287">
        <v>11</v>
      </c>
      <c r="AR73" s="1287">
        <v>7</v>
      </c>
      <c r="AS73" s="1287">
        <v>15</v>
      </c>
      <c r="AT73" s="1287">
        <v>7</v>
      </c>
      <c r="AU73" s="1287">
        <v>10</v>
      </c>
      <c r="AV73" s="1287">
        <v>322</v>
      </c>
    </row>
    <row r="74" spans="1:48">
      <c r="A74" s="498">
        <v>56</v>
      </c>
      <c r="B74" s="1286">
        <v>370</v>
      </c>
      <c r="C74" s="1286">
        <v>34</v>
      </c>
      <c r="D74" s="1286">
        <v>24</v>
      </c>
      <c r="E74" s="1286">
        <v>38</v>
      </c>
      <c r="F74" s="1286">
        <v>17</v>
      </c>
      <c r="G74" s="1286">
        <v>6</v>
      </c>
      <c r="H74" s="1286">
        <v>27</v>
      </c>
      <c r="I74" s="1286">
        <v>26</v>
      </c>
      <c r="J74" s="1286">
        <v>17</v>
      </c>
      <c r="K74" s="1286">
        <v>19</v>
      </c>
      <c r="L74" s="1286">
        <v>11</v>
      </c>
      <c r="M74" s="1286">
        <v>34</v>
      </c>
      <c r="N74" s="1286">
        <v>18</v>
      </c>
      <c r="O74" s="1286">
        <v>15</v>
      </c>
      <c r="P74" s="1286">
        <v>656</v>
      </c>
      <c r="Q74" s="498">
        <v>56</v>
      </c>
      <c r="R74" s="679">
        <v>181</v>
      </c>
      <c r="S74" s="679">
        <v>14</v>
      </c>
      <c r="T74" s="679">
        <v>14</v>
      </c>
      <c r="U74" s="679">
        <v>13</v>
      </c>
      <c r="V74" s="679">
        <v>11</v>
      </c>
      <c r="W74" s="679">
        <v>2</v>
      </c>
      <c r="X74" s="679">
        <v>13</v>
      </c>
      <c r="Y74" s="679">
        <v>11</v>
      </c>
      <c r="Z74" s="679">
        <v>6</v>
      </c>
      <c r="AA74" s="679">
        <v>8</v>
      </c>
      <c r="AB74" s="679">
        <v>5</v>
      </c>
      <c r="AC74" s="679">
        <v>17</v>
      </c>
      <c r="AD74" s="679">
        <v>8</v>
      </c>
      <c r="AE74" s="679">
        <v>5</v>
      </c>
      <c r="AF74" s="679">
        <v>308</v>
      </c>
      <c r="AG74" s="498">
        <v>56</v>
      </c>
      <c r="AH74" s="1287">
        <v>189</v>
      </c>
      <c r="AI74" s="1287">
        <v>20</v>
      </c>
      <c r="AJ74" s="1287">
        <v>10</v>
      </c>
      <c r="AK74" s="1287">
        <v>25</v>
      </c>
      <c r="AL74" s="1287">
        <v>6</v>
      </c>
      <c r="AM74" s="1287">
        <v>4</v>
      </c>
      <c r="AN74" s="1287">
        <v>14</v>
      </c>
      <c r="AO74" s="1287">
        <v>15</v>
      </c>
      <c r="AP74" s="1287">
        <v>11</v>
      </c>
      <c r="AQ74" s="1287">
        <v>11</v>
      </c>
      <c r="AR74" s="1287">
        <v>6</v>
      </c>
      <c r="AS74" s="1287">
        <v>17</v>
      </c>
      <c r="AT74" s="1287">
        <v>10</v>
      </c>
      <c r="AU74" s="1287">
        <v>10</v>
      </c>
      <c r="AV74" s="1287">
        <v>348</v>
      </c>
    </row>
    <row r="75" spans="1:48">
      <c r="A75" s="498">
        <v>57</v>
      </c>
      <c r="B75" s="1286">
        <v>323</v>
      </c>
      <c r="C75" s="1286">
        <v>17</v>
      </c>
      <c r="D75" s="1286">
        <v>16</v>
      </c>
      <c r="E75" s="1286">
        <v>39</v>
      </c>
      <c r="F75" s="1286">
        <v>10</v>
      </c>
      <c r="G75" s="1286">
        <v>8</v>
      </c>
      <c r="H75" s="1286">
        <v>22</v>
      </c>
      <c r="I75" s="1286">
        <v>11</v>
      </c>
      <c r="J75" s="1286">
        <v>16</v>
      </c>
      <c r="K75" s="1286">
        <v>15</v>
      </c>
      <c r="L75" s="1286">
        <v>9</v>
      </c>
      <c r="M75" s="1286">
        <v>23</v>
      </c>
      <c r="N75" s="1286">
        <v>15</v>
      </c>
      <c r="O75" s="1286">
        <v>13</v>
      </c>
      <c r="P75" s="1286">
        <v>537</v>
      </c>
      <c r="Q75" s="498">
        <v>57</v>
      </c>
      <c r="R75" s="679">
        <v>135</v>
      </c>
      <c r="S75" s="679">
        <v>10</v>
      </c>
      <c r="T75" s="679">
        <v>10</v>
      </c>
      <c r="U75" s="679">
        <v>22</v>
      </c>
      <c r="V75" s="679">
        <v>4</v>
      </c>
      <c r="W75" s="679">
        <v>1</v>
      </c>
      <c r="X75" s="679">
        <v>14</v>
      </c>
      <c r="Y75" s="679">
        <v>6</v>
      </c>
      <c r="Z75" s="679">
        <v>7</v>
      </c>
      <c r="AA75" s="679">
        <v>8</v>
      </c>
      <c r="AB75" s="679">
        <v>5</v>
      </c>
      <c r="AC75" s="679">
        <v>13</v>
      </c>
      <c r="AD75" s="679">
        <v>10</v>
      </c>
      <c r="AE75" s="679">
        <v>8</v>
      </c>
      <c r="AF75" s="679">
        <v>253</v>
      </c>
      <c r="AG75" s="498">
        <v>57</v>
      </c>
      <c r="AH75" s="1287">
        <v>188</v>
      </c>
      <c r="AI75" s="1287">
        <v>7</v>
      </c>
      <c r="AJ75" s="1287">
        <v>6</v>
      </c>
      <c r="AK75" s="1287">
        <v>17</v>
      </c>
      <c r="AL75" s="1287">
        <v>6</v>
      </c>
      <c r="AM75" s="1287">
        <v>7</v>
      </c>
      <c r="AN75" s="1287">
        <v>8</v>
      </c>
      <c r="AO75" s="1287">
        <v>5</v>
      </c>
      <c r="AP75" s="1287">
        <v>9</v>
      </c>
      <c r="AQ75" s="1287">
        <v>7</v>
      </c>
      <c r="AR75" s="1287">
        <v>4</v>
      </c>
      <c r="AS75" s="1287">
        <v>10</v>
      </c>
      <c r="AT75" s="1287">
        <v>5</v>
      </c>
      <c r="AU75" s="1287">
        <v>5</v>
      </c>
      <c r="AV75" s="1287">
        <v>284</v>
      </c>
    </row>
    <row r="76" spans="1:48">
      <c r="A76" s="498">
        <v>58</v>
      </c>
      <c r="B76" s="1286">
        <v>241</v>
      </c>
      <c r="C76" s="1286">
        <v>29</v>
      </c>
      <c r="D76" s="1286">
        <v>18</v>
      </c>
      <c r="E76" s="1286">
        <v>31</v>
      </c>
      <c r="F76" s="1286">
        <v>15</v>
      </c>
      <c r="G76" s="1286">
        <v>7</v>
      </c>
      <c r="H76" s="1286">
        <v>25</v>
      </c>
      <c r="I76" s="1286">
        <v>12</v>
      </c>
      <c r="J76" s="1286">
        <v>8</v>
      </c>
      <c r="K76" s="1286">
        <v>20</v>
      </c>
      <c r="L76" s="1286">
        <v>9</v>
      </c>
      <c r="M76" s="1286">
        <v>19</v>
      </c>
      <c r="N76" s="1286">
        <v>10</v>
      </c>
      <c r="O76" s="1286">
        <v>5</v>
      </c>
      <c r="P76" s="1286">
        <v>449</v>
      </c>
      <c r="Q76" s="498">
        <v>58</v>
      </c>
      <c r="R76" s="679">
        <v>112</v>
      </c>
      <c r="S76" s="679">
        <v>14</v>
      </c>
      <c r="T76" s="679">
        <v>7</v>
      </c>
      <c r="U76" s="679">
        <v>15</v>
      </c>
      <c r="V76" s="679">
        <v>7</v>
      </c>
      <c r="W76" s="679">
        <v>1</v>
      </c>
      <c r="X76" s="679">
        <v>9</v>
      </c>
      <c r="Y76" s="679">
        <v>4</v>
      </c>
      <c r="Z76" s="679">
        <v>5</v>
      </c>
      <c r="AA76" s="679">
        <v>9</v>
      </c>
      <c r="AB76" s="679">
        <v>2</v>
      </c>
      <c r="AC76" s="679">
        <v>12</v>
      </c>
      <c r="AD76" s="679">
        <v>5</v>
      </c>
      <c r="AE76" s="679">
        <v>1</v>
      </c>
      <c r="AF76" s="679">
        <v>203</v>
      </c>
      <c r="AG76" s="498">
        <v>58</v>
      </c>
      <c r="AH76" s="1287">
        <v>129</v>
      </c>
      <c r="AI76" s="1287">
        <v>15</v>
      </c>
      <c r="AJ76" s="1287">
        <v>11</v>
      </c>
      <c r="AK76" s="1287">
        <v>16</v>
      </c>
      <c r="AL76" s="1287">
        <v>8</v>
      </c>
      <c r="AM76" s="1287">
        <v>6</v>
      </c>
      <c r="AN76" s="1287">
        <v>16</v>
      </c>
      <c r="AO76" s="1287">
        <v>8</v>
      </c>
      <c r="AP76" s="1287">
        <v>3</v>
      </c>
      <c r="AQ76" s="1287">
        <v>11</v>
      </c>
      <c r="AR76" s="1287">
        <v>7</v>
      </c>
      <c r="AS76" s="1287">
        <v>7</v>
      </c>
      <c r="AT76" s="1287">
        <v>5</v>
      </c>
      <c r="AU76" s="1287">
        <v>4</v>
      </c>
      <c r="AV76" s="1287">
        <v>246</v>
      </c>
    </row>
    <row r="77" spans="1:48">
      <c r="A77" s="498">
        <v>59</v>
      </c>
      <c r="B77" s="1286">
        <v>256</v>
      </c>
      <c r="C77" s="1286">
        <v>16</v>
      </c>
      <c r="D77" s="1286">
        <v>7</v>
      </c>
      <c r="E77" s="1286">
        <v>25</v>
      </c>
      <c r="F77" s="1286">
        <v>11</v>
      </c>
      <c r="G77" s="1286">
        <v>6</v>
      </c>
      <c r="H77" s="1286">
        <v>15</v>
      </c>
      <c r="I77" s="1286">
        <v>8</v>
      </c>
      <c r="J77" s="1286">
        <v>7</v>
      </c>
      <c r="K77" s="1286">
        <v>15</v>
      </c>
      <c r="L77" s="1286">
        <v>12</v>
      </c>
      <c r="M77" s="1286">
        <v>19</v>
      </c>
      <c r="N77" s="1286">
        <v>10</v>
      </c>
      <c r="O77" s="1286">
        <v>5</v>
      </c>
      <c r="P77" s="1286">
        <v>412</v>
      </c>
      <c r="Q77" s="498">
        <v>59</v>
      </c>
      <c r="R77" s="679">
        <v>115</v>
      </c>
      <c r="S77" s="679">
        <v>8</v>
      </c>
      <c r="T77" s="679">
        <v>3</v>
      </c>
      <c r="U77" s="679">
        <v>12</v>
      </c>
      <c r="V77" s="679">
        <v>4</v>
      </c>
      <c r="W77" s="679">
        <v>2</v>
      </c>
      <c r="X77" s="679">
        <v>12</v>
      </c>
      <c r="Y77" s="679">
        <v>4</v>
      </c>
      <c r="Z77" s="679">
        <v>3</v>
      </c>
      <c r="AA77" s="679">
        <v>8</v>
      </c>
      <c r="AB77" s="679">
        <v>8</v>
      </c>
      <c r="AC77" s="679">
        <v>9</v>
      </c>
      <c r="AD77" s="679">
        <v>7</v>
      </c>
      <c r="AE77" s="679">
        <v>4</v>
      </c>
      <c r="AF77" s="679">
        <v>199</v>
      </c>
      <c r="AG77" s="498">
        <v>59</v>
      </c>
      <c r="AH77" s="1287">
        <v>141</v>
      </c>
      <c r="AI77" s="1287">
        <v>8</v>
      </c>
      <c r="AJ77" s="1287">
        <v>4</v>
      </c>
      <c r="AK77" s="1287">
        <v>13</v>
      </c>
      <c r="AL77" s="1287">
        <v>7</v>
      </c>
      <c r="AM77" s="1287">
        <v>4</v>
      </c>
      <c r="AN77" s="1287">
        <v>3</v>
      </c>
      <c r="AO77" s="1287">
        <v>4</v>
      </c>
      <c r="AP77" s="1287">
        <v>4</v>
      </c>
      <c r="AQ77" s="1287">
        <v>7</v>
      </c>
      <c r="AR77" s="1287">
        <v>4</v>
      </c>
      <c r="AS77" s="1287">
        <v>10</v>
      </c>
      <c r="AT77" s="1287">
        <v>3</v>
      </c>
      <c r="AU77" s="1287">
        <v>1</v>
      </c>
      <c r="AV77" s="1287">
        <v>213</v>
      </c>
    </row>
    <row r="78" spans="1:48">
      <c r="A78" s="498" t="s">
        <v>2331</v>
      </c>
      <c r="B78" s="1286">
        <v>1526</v>
      </c>
      <c r="C78" s="1286">
        <v>120</v>
      </c>
      <c r="D78" s="1286">
        <v>92</v>
      </c>
      <c r="E78" s="1286">
        <v>174</v>
      </c>
      <c r="F78" s="1286">
        <v>66</v>
      </c>
      <c r="G78" s="1286">
        <v>38</v>
      </c>
      <c r="H78" s="1286">
        <v>113</v>
      </c>
      <c r="I78" s="1286">
        <v>70</v>
      </c>
      <c r="J78" s="1286">
        <v>71</v>
      </c>
      <c r="K78" s="1286">
        <v>92</v>
      </c>
      <c r="L78" s="1286">
        <v>54</v>
      </c>
      <c r="M78" s="1286">
        <v>130</v>
      </c>
      <c r="N78" s="1286">
        <v>75</v>
      </c>
      <c r="O78" s="1286">
        <v>57</v>
      </c>
      <c r="P78" s="1286">
        <v>2678</v>
      </c>
      <c r="Q78" s="498" t="s">
        <v>2331</v>
      </c>
      <c r="R78" s="679">
        <v>697</v>
      </c>
      <c r="S78" s="679">
        <v>58</v>
      </c>
      <c r="T78" s="679">
        <v>52</v>
      </c>
      <c r="U78" s="679">
        <v>83</v>
      </c>
      <c r="V78" s="679">
        <v>29</v>
      </c>
      <c r="W78" s="679">
        <v>13</v>
      </c>
      <c r="X78" s="679">
        <v>56</v>
      </c>
      <c r="Y78" s="679">
        <v>33</v>
      </c>
      <c r="Z78" s="679">
        <v>30</v>
      </c>
      <c r="AA78" s="679">
        <v>45</v>
      </c>
      <c r="AB78" s="679">
        <v>26</v>
      </c>
      <c r="AC78" s="679">
        <v>71</v>
      </c>
      <c r="AD78" s="679">
        <v>45</v>
      </c>
      <c r="AE78" s="679">
        <v>27</v>
      </c>
      <c r="AF78" s="679">
        <v>1265</v>
      </c>
      <c r="AG78" s="498" t="s">
        <v>2331</v>
      </c>
      <c r="AH78" s="1287">
        <v>829</v>
      </c>
      <c r="AI78" s="1287">
        <v>62</v>
      </c>
      <c r="AJ78" s="1287">
        <v>40</v>
      </c>
      <c r="AK78" s="1287">
        <v>91</v>
      </c>
      <c r="AL78" s="1287">
        <v>37</v>
      </c>
      <c r="AM78" s="1287">
        <v>25</v>
      </c>
      <c r="AN78" s="1287">
        <v>57</v>
      </c>
      <c r="AO78" s="1287">
        <v>37</v>
      </c>
      <c r="AP78" s="1287">
        <v>41</v>
      </c>
      <c r="AQ78" s="1287">
        <v>47</v>
      </c>
      <c r="AR78" s="1287">
        <v>28</v>
      </c>
      <c r="AS78" s="1287">
        <v>59</v>
      </c>
      <c r="AT78" s="1287">
        <v>30</v>
      </c>
      <c r="AU78" s="1287">
        <v>30</v>
      </c>
      <c r="AV78" s="1287">
        <v>1413</v>
      </c>
    </row>
    <row r="79" spans="1:48">
      <c r="A79" s="498">
        <v>60</v>
      </c>
      <c r="B79" s="1286">
        <v>234</v>
      </c>
      <c r="C79" s="1286">
        <v>18</v>
      </c>
      <c r="D79" s="1286">
        <v>14</v>
      </c>
      <c r="E79" s="1286">
        <v>33</v>
      </c>
      <c r="F79" s="1286">
        <v>11</v>
      </c>
      <c r="G79" s="1286">
        <v>6</v>
      </c>
      <c r="H79" s="1286">
        <v>17</v>
      </c>
      <c r="I79" s="1286">
        <v>7</v>
      </c>
      <c r="J79" s="1286">
        <v>13</v>
      </c>
      <c r="K79" s="1286">
        <v>14</v>
      </c>
      <c r="L79" s="1286">
        <v>9</v>
      </c>
      <c r="M79" s="1286">
        <v>17</v>
      </c>
      <c r="N79" s="1286">
        <v>13</v>
      </c>
      <c r="O79" s="1286">
        <v>6</v>
      </c>
      <c r="P79" s="1286">
        <v>412</v>
      </c>
      <c r="Q79" s="498">
        <v>60</v>
      </c>
      <c r="R79" s="679">
        <v>100</v>
      </c>
      <c r="S79" s="679">
        <v>10</v>
      </c>
      <c r="T79" s="679">
        <v>5</v>
      </c>
      <c r="U79" s="679">
        <v>15</v>
      </c>
      <c r="V79" s="679">
        <v>7</v>
      </c>
      <c r="W79" s="679">
        <v>4</v>
      </c>
      <c r="X79" s="679">
        <v>5</v>
      </c>
      <c r="Y79" s="679">
        <v>5</v>
      </c>
      <c r="Z79" s="679">
        <v>6</v>
      </c>
      <c r="AA79" s="679">
        <v>3</v>
      </c>
      <c r="AB79" s="679">
        <v>5</v>
      </c>
      <c r="AC79" s="679">
        <v>8</v>
      </c>
      <c r="AD79" s="679">
        <v>4</v>
      </c>
      <c r="AE79" s="679">
        <v>2</v>
      </c>
      <c r="AF79" s="679">
        <v>179</v>
      </c>
      <c r="AG79" s="498">
        <v>60</v>
      </c>
      <c r="AH79" s="1287">
        <v>134</v>
      </c>
      <c r="AI79" s="1287">
        <v>8</v>
      </c>
      <c r="AJ79" s="1287">
        <v>9</v>
      </c>
      <c r="AK79" s="1287">
        <v>18</v>
      </c>
      <c r="AL79" s="1287">
        <v>4</v>
      </c>
      <c r="AM79" s="1287">
        <v>2</v>
      </c>
      <c r="AN79" s="1287">
        <v>12</v>
      </c>
      <c r="AO79" s="1287">
        <v>2</v>
      </c>
      <c r="AP79" s="1287">
        <v>7</v>
      </c>
      <c r="AQ79" s="1287">
        <v>11</v>
      </c>
      <c r="AR79" s="1287">
        <v>4</v>
      </c>
      <c r="AS79" s="1287">
        <v>9</v>
      </c>
      <c r="AT79" s="1287">
        <v>9</v>
      </c>
      <c r="AU79" s="1287">
        <v>4</v>
      </c>
      <c r="AV79" s="1287">
        <v>233</v>
      </c>
    </row>
    <row r="80" spans="1:48">
      <c r="A80" s="498">
        <v>61</v>
      </c>
      <c r="B80" s="1286">
        <v>166</v>
      </c>
      <c r="C80" s="1286">
        <v>13</v>
      </c>
      <c r="D80" s="1286">
        <v>6</v>
      </c>
      <c r="E80" s="1286">
        <v>21</v>
      </c>
      <c r="F80" s="1286">
        <v>4</v>
      </c>
      <c r="G80" s="1286">
        <v>5</v>
      </c>
      <c r="H80" s="1286">
        <v>10</v>
      </c>
      <c r="I80" s="1286">
        <v>9</v>
      </c>
      <c r="J80" s="1286">
        <v>8</v>
      </c>
      <c r="K80" s="1286">
        <v>16</v>
      </c>
      <c r="L80" s="1286">
        <v>11</v>
      </c>
      <c r="M80" s="1286">
        <v>15</v>
      </c>
      <c r="N80" s="1286">
        <v>12</v>
      </c>
      <c r="O80" s="1286">
        <v>4</v>
      </c>
      <c r="P80" s="1286">
        <v>300</v>
      </c>
      <c r="Q80" s="498">
        <v>61</v>
      </c>
      <c r="R80" s="679">
        <v>78</v>
      </c>
      <c r="S80" s="679">
        <v>3</v>
      </c>
      <c r="T80" s="679">
        <v>2</v>
      </c>
      <c r="U80" s="679">
        <v>11</v>
      </c>
      <c r="V80" s="679">
        <v>4</v>
      </c>
      <c r="W80" s="679">
        <v>2</v>
      </c>
      <c r="X80" s="679">
        <v>4</v>
      </c>
      <c r="Y80" s="679">
        <v>3</v>
      </c>
      <c r="Z80" s="679">
        <v>6</v>
      </c>
      <c r="AA80" s="679">
        <v>11</v>
      </c>
      <c r="AB80" s="679">
        <v>5</v>
      </c>
      <c r="AC80" s="679">
        <v>7</v>
      </c>
      <c r="AD80" s="679">
        <v>4</v>
      </c>
      <c r="AE80" s="679">
        <v>4</v>
      </c>
      <c r="AF80" s="679">
        <v>144</v>
      </c>
      <c r="AG80" s="498">
        <v>61</v>
      </c>
      <c r="AH80" s="1287">
        <v>88</v>
      </c>
      <c r="AI80" s="1287">
        <v>10</v>
      </c>
      <c r="AJ80" s="1287">
        <v>4</v>
      </c>
      <c r="AK80" s="1287">
        <v>10</v>
      </c>
      <c r="AL80" s="1287">
        <v>0</v>
      </c>
      <c r="AM80" s="1287">
        <v>3</v>
      </c>
      <c r="AN80" s="1287">
        <v>6</v>
      </c>
      <c r="AO80" s="1287">
        <v>6</v>
      </c>
      <c r="AP80" s="1287">
        <v>2</v>
      </c>
      <c r="AQ80" s="1287">
        <v>5</v>
      </c>
      <c r="AR80" s="1287">
        <v>6</v>
      </c>
      <c r="AS80" s="1287">
        <v>8</v>
      </c>
      <c r="AT80" s="1287">
        <v>8</v>
      </c>
      <c r="AU80" s="1287">
        <v>0</v>
      </c>
      <c r="AV80" s="1287">
        <v>156</v>
      </c>
    </row>
    <row r="81" spans="1:48">
      <c r="A81" s="498">
        <v>62</v>
      </c>
      <c r="B81" s="1286">
        <v>201</v>
      </c>
      <c r="C81" s="1286">
        <v>10</v>
      </c>
      <c r="D81" s="1286">
        <v>9</v>
      </c>
      <c r="E81" s="1286">
        <v>18</v>
      </c>
      <c r="F81" s="1286">
        <v>3</v>
      </c>
      <c r="G81" s="1286">
        <v>11</v>
      </c>
      <c r="H81" s="1286">
        <v>6</v>
      </c>
      <c r="I81" s="1286">
        <v>3</v>
      </c>
      <c r="J81" s="1286">
        <v>8</v>
      </c>
      <c r="K81" s="1286">
        <v>14</v>
      </c>
      <c r="L81" s="1286">
        <v>6</v>
      </c>
      <c r="M81" s="1286">
        <v>11</v>
      </c>
      <c r="N81" s="1286">
        <v>10</v>
      </c>
      <c r="O81" s="1286">
        <v>10</v>
      </c>
      <c r="P81" s="1286">
        <v>320</v>
      </c>
      <c r="Q81" s="498">
        <v>62</v>
      </c>
      <c r="R81" s="679">
        <v>77</v>
      </c>
      <c r="S81" s="679">
        <v>5</v>
      </c>
      <c r="T81" s="679">
        <v>6</v>
      </c>
      <c r="U81" s="679">
        <v>10</v>
      </c>
      <c r="V81" s="679">
        <v>2</v>
      </c>
      <c r="W81" s="679">
        <v>7</v>
      </c>
      <c r="X81" s="679">
        <v>3</v>
      </c>
      <c r="Y81" s="679">
        <v>2</v>
      </c>
      <c r="Z81" s="679">
        <v>3</v>
      </c>
      <c r="AA81" s="679">
        <v>5</v>
      </c>
      <c r="AB81" s="679">
        <v>3</v>
      </c>
      <c r="AC81" s="679">
        <v>5</v>
      </c>
      <c r="AD81" s="679">
        <v>1</v>
      </c>
      <c r="AE81" s="679">
        <v>7</v>
      </c>
      <c r="AF81" s="679">
        <v>136</v>
      </c>
      <c r="AG81" s="498">
        <v>62</v>
      </c>
      <c r="AH81" s="1287">
        <v>124</v>
      </c>
      <c r="AI81" s="1287">
        <v>5</v>
      </c>
      <c r="AJ81" s="1287">
        <v>3</v>
      </c>
      <c r="AK81" s="1287">
        <v>8</v>
      </c>
      <c r="AL81" s="1287">
        <v>1</v>
      </c>
      <c r="AM81" s="1287">
        <v>4</v>
      </c>
      <c r="AN81" s="1287">
        <v>3</v>
      </c>
      <c r="AO81" s="1287">
        <v>1</v>
      </c>
      <c r="AP81" s="1287">
        <v>5</v>
      </c>
      <c r="AQ81" s="1287">
        <v>9</v>
      </c>
      <c r="AR81" s="1287">
        <v>3</v>
      </c>
      <c r="AS81" s="1287">
        <v>6</v>
      </c>
      <c r="AT81" s="1287">
        <v>9</v>
      </c>
      <c r="AU81" s="1287">
        <v>3</v>
      </c>
      <c r="AV81" s="1287">
        <v>184</v>
      </c>
    </row>
    <row r="82" spans="1:48">
      <c r="A82" s="498">
        <v>63</v>
      </c>
      <c r="B82" s="1286">
        <v>142</v>
      </c>
      <c r="C82" s="1286">
        <v>20</v>
      </c>
      <c r="D82" s="1286">
        <v>9</v>
      </c>
      <c r="E82" s="1286">
        <v>18</v>
      </c>
      <c r="F82" s="1286">
        <v>5</v>
      </c>
      <c r="G82" s="1286">
        <v>2</v>
      </c>
      <c r="H82" s="1286">
        <v>13</v>
      </c>
      <c r="I82" s="1286">
        <v>3</v>
      </c>
      <c r="J82" s="1286">
        <v>5</v>
      </c>
      <c r="K82" s="1286">
        <v>9</v>
      </c>
      <c r="L82" s="1286">
        <v>6</v>
      </c>
      <c r="M82" s="1286">
        <v>12</v>
      </c>
      <c r="N82" s="1286">
        <v>11</v>
      </c>
      <c r="O82" s="1286">
        <v>0</v>
      </c>
      <c r="P82" s="1286">
        <v>255</v>
      </c>
      <c r="Q82" s="498">
        <v>63</v>
      </c>
      <c r="R82" s="679">
        <v>59</v>
      </c>
      <c r="S82" s="679">
        <v>10</v>
      </c>
      <c r="T82" s="679">
        <v>6</v>
      </c>
      <c r="U82" s="679">
        <v>8</v>
      </c>
      <c r="V82" s="679">
        <v>4</v>
      </c>
      <c r="W82" s="679">
        <v>1</v>
      </c>
      <c r="X82" s="679">
        <v>6</v>
      </c>
      <c r="Y82" s="679">
        <v>1</v>
      </c>
      <c r="Z82" s="679">
        <v>1</v>
      </c>
      <c r="AA82" s="679">
        <v>4</v>
      </c>
      <c r="AB82" s="679">
        <v>2</v>
      </c>
      <c r="AC82" s="679">
        <v>5</v>
      </c>
      <c r="AD82" s="679">
        <v>5</v>
      </c>
      <c r="AE82" s="679">
        <v>0</v>
      </c>
      <c r="AF82" s="679">
        <v>112</v>
      </c>
      <c r="AG82" s="498">
        <v>63</v>
      </c>
      <c r="AH82" s="1287">
        <v>83</v>
      </c>
      <c r="AI82" s="1287">
        <v>10</v>
      </c>
      <c r="AJ82" s="1287">
        <v>3</v>
      </c>
      <c r="AK82" s="1287">
        <v>10</v>
      </c>
      <c r="AL82" s="1287">
        <v>1</v>
      </c>
      <c r="AM82" s="1287">
        <v>1</v>
      </c>
      <c r="AN82" s="1287">
        <v>7</v>
      </c>
      <c r="AO82" s="1287">
        <v>2</v>
      </c>
      <c r="AP82" s="1287">
        <v>4</v>
      </c>
      <c r="AQ82" s="1287">
        <v>5</v>
      </c>
      <c r="AR82" s="1287">
        <v>4</v>
      </c>
      <c r="AS82" s="1287">
        <v>7</v>
      </c>
      <c r="AT82" s="1287">
        <v>6</v>
      </c>
      <c r="AU82" s="1287">
        <v>0</v>
      </c>
      <c r="AV82" s="1287">
        <v>143</v>
      </c>
    </row>
    <row r="83" spans="1:48">
      <c r="A83" s="498">
        <v>64</v>
      </c>
      <c r="B83" s="1286">
        <v>171</v>
      </c>
      <c r="C83" s="1286">
        <v>13</v>
      </c>
      <c r="D83" s="1286">
        <v>6</v>
      </c>
      <c r="E83" s="1286">
        <v>11</v>
      </c>
      <c r="F83" s="1286">
        <v>11</v>
      </c>
      <c r="G83" s="1286">
        <v>5</v>
      </c>
      <c r="H83" s="1286">
        <v>7</v>
      </c>
      <c r="I83" s="1286">
        <v>2</v>
      </c>
      <c r="J83" s="1286">
        <v>4</v>
      </c>
      <c r="K83" s="1286">
        <v>6</v>
      </c>
      <c r="L83" s="1286">
        <v>5</v>
      </c>
      <c r="M83" s="1286">
        <v>5</v>
      </c>
      <c r="N83" s="1286">
        <v>12</v>
      </c>
      <c r="O83" s="1286">
        <v>6</v>
      </c>
      <c r="P83" s="1286">
        <v>264</v>
      </c>
      <c r="Q83" s="498">
        <v>64</v>
      </c>
      <c r="R83" s="679">
        <v>85</v>
      </c>
      <c r="S83" s="679">
        <v>6</v>
      </c>
      <c r="T83" s="679">
        <v>6</v>
      </c>
      <c r="U83" s="679">
        <v>5</v>
      </c>
      <c r="V83" s="679">
        <v>5</v>
      </c>
      <c r="W83" s="679">
        <v>4</v>
      </c>
      <c r="X83" s="679">
        <v>6</v>
      </c>
      <c r="Y83" s="679">
        <v>1</v>
      </c>
      <c r="Z83" s="679">
        <v>2</v>
      </c>
      <c r="AA83" s="679">
        <v>2</v>
      </c>
      <c r="AB83" s="679">
        <v>3</v>
      </c>
      <c r="AC83" s="679">
        <v>5</v>
      </c>
      <c r="AD83" s="679">
        <v>6</v>
      </c>
      <c r="AE83" s="679">
        <v>2</v>
      </c>
      <c r="AF83" s="679">
        <v>138</v>
      </c>
      <c r="AG83" s="498">
        <v>64</v>
      </c>
      <c r="AH83" s="1287">
        <v>86</v>
      </c>
      <c r="AI83" s="1287">
        <v>7</v>
      </c>
      <c r="AJ83" s="1287">
        <v>0</v>
      </c>
      <c r="AK83" s="1287">
        <v>6</v>
      </c>
      <c r="AL83" s="1287">
        <v>6</v>
      </c>
      <c r="AM83" s="1287">
        <v>1</v>
      </c>
      <c r="AN83" s="1287">
        <v>1</v>
      </c>
      <c r="AO83" s="1287">
        <v>1</v>
      </c>
      <c r="AP83" s="1287">
        <v>2</v>
      </c>
      <c r="AQ83" s="1287">
        <v>4</v>
      </c>
      <c r="AR83" s="1287">
        <v>2</v>
      </c>
      <c r="AS83" s="1287">
        <v>0</v>
      </c>
      <c r="AT83" s="1287">
        <v>6</v>
      </c>
      <c r="AU83" s="1287">
        <v>4</v>
      </c>
      <c r="AV83" s="1287">
        <v>126</v>
      </c>
    </row>
    <row r="84" spans="1:48">
      <c r="A84" s="498" t="s">
        <v>2332</v>
      </c>
      <c r="B84" s="1286">
        <v>914</v>
      </c>
      <c r="C84" s="1286">
        <v>74</v>
      </c>
      <c r="D84" s="1286">
        <v>44</v>
      </c>
      <c r="E84" s="1286">
        <v>101</v>
      </c>
      <c r="F84" s="1286">
        <v>34</v>
      </c>
      <c r="G84" s="1286">
        <v>29</v>
      </c>
      <c r="H84" s="1286">
        <v>53</v>
      </c>
      <c r="I84" s="1286">
        <v>24</v>
      </c>
      <c r="J84" s="1286">
        <v>38</v>
      </c>
      <c r="K84" s="1286">
        <v>59</v>
      </c>
      <c r="L84" s="1286">
        <v>37</v>
      </c>
      <c r="M84" s="1286">
        <v>60</v>
      </c>
      <c r="N84" s="1286">
        <v>58</v>
      </c>
      <c r="O84" s="1286">
        <v>26</v>
      </c>
      <c r="P84" s="1286">
        <v>1551</v>
      </c>
      <c r="Q84" s="498" t="s">
        <v>2332</v>
      </c>
      <c r="R84" s="679">
        <v>399</v>
      </c>
      <c r="S84" s="679">
        <v>34</v>
      </c>
      <c r="T84" s="679">
        <v>25</v>
      </c>
      <c r="U84" s="679">
        <v>49</v>
      </c>
      <c r="V84" s="679">
        <v>22</v>
      </c>
      <c r="W84" s="679">
        <v>18</v>
      </c>
      <c r="X84" s="679">
        <v>24</v>
      </c>
      <c r="Y84" s="679">
        <v>12</v>
      </c>
      <c r="Z84" s="679">
        <v>18</v>
      </c>
      <c r="AA84" s="679">
        <v>25</v>
      </c>
      <c r="AB84" s="679">
        <v>18</v>
      </c>
      <c r="AC84" s="679">
        <v>30</v>
      </c>
      <c r="AD84" s="679">
        <v>20</v>
      </c>
      <c r="AE84" s="679">
        <v>15</v>
      </c>
      <c r="AF84" s="679">
        <v>709</v>
      </c>
      <c r="AG84" s="498" t="s">
        <v>2332</v>
      </c>
      <c r="AH84" s="1287">
        <v>515</v>
      </c>
      <c r="AI84" s="1287">
        <v>40</v>
      </c>
      <c r="AJ84" s="1287">
        <v>19</v>
      </c>
      <c r="AK84" s="1287">
        <v>52</v>
      </c>
      <c r="AL84" s="1287">
        <v>12</v>
      </c>
      <c r="AM84" s="1287">
        <v>11</v>
      </c>
      <c r="AN84" s="1287">
        <v>29</v>
      </c>
      <c r="AO84" s="1287">
        <v>12</v>
      </c>
      <c r="AP84" s="1287">
        <v>20</v>
      </c>
      <c r="AQ84" s="1287">
        <v>34</v>
      </c>
      <c r="AR84" s="1287">
        <v>19</v>
      </c>
      <c r="AS84" s="1287">
        <v>30</v>
      </c>
      <c r="AT84" s="1287">
        <v>38</v>
      </c>
      <c r="AU84" s="1287">
        <v>11</v>
      </c>
      <c r="AV84" s="1287">
        <v>842</v>
      </c>
    </row>
    <row r="85" spans="1:48">
      <c r="A85" s="498">
        <v>65</v>
      </c>
      <c r="B85" s="1286">
        <v>129</v>
      </c>
      <c r="C85" s="1286">
        <v>8</v>
      </c>
      <c r="D85" s="1286">
        <v>2</v>
      </c>
      <c r="E85" s="1286">
        <v>7</v>
      </c>
      <c r="F85" s="1286">
        <v>3</v>
      </c>
      <c r="G85" s="1286">
        <v>3</v>
      </c>
      <c r="H85" s="1286">
        <v>8</v>
      </c>
      <c r="I85" s="1286">
        <v>3</v>
      </c>
      <c r="J85" s="1286">
        <v>5</v>
      </c>
      <c r="K85" s="1286">
        <v>7</v>
      </c>
      <c r="L85" s="1286">
        <v>2</v>
      </c>
      <c r="M85" s="1286">
        <v>5</v>
      </c>
      <c r="N85" s="1286">
        <v>2</v>
      </c>
      <c r="O85" s="1286">
        <v>1</v>
      </c>
      <c r="P85" s="1286">
        <v>185</v>
      </c>
      <c r="Q85" s="498">
        <v>65</v>
      </c>
      <c r="R85" s="679">
        <v>54</v>
      </c>
      <c r="S85" s="679">
        <v>6</v>
      </c>
      <c r="T85" s="679">
        <v>0</v>
      </c>
      <c r="U85" s="679">
        <v>2</v>
      </c>
      <c r="V85" s="679">
        <v>1</v>
      </c>
      <c r="W85" s="679">
        <v>2</v>
      </c>
      <c r="X85" s="679">
        <v>3</v>
      </c>
      <c r="Y85" s="679">
        <v>1</v>
      </c>
      <c r="Z85" s="679">
        <v>4</v>
      </c>
      <c r="AA85" s="679">
        <v>2</v>
      </c>
      <c r="AB85" s="679">
        <v>1</v>
      </c>
      <c r="AC85" s="679">
        <v>3</v>
      </c>
      <c r="AD85" s="679">
        <v>1</v>
      </c>
      <c r="AE85" s="679">
        <v>0</v>
      </c>
      <c r="AF85" s="679">
        <v>80</v>
      </c>
      <c r="AG85" s="498">
        <v>65</v>
      </c>
      <c r="AH85" s="1287">
        <v>75</v>
      </c>
      <c r="AI85" s="1287">
        <v>2</v>
      </c>
      <c r="AJ85" s="1287">
        <v>2</v>
      </c>
      <c r="AK85" s="1287">
        <v>5</v>
      </c>
      <c r="AL85" s="1287">
        <v>2</v>
      </c>
      <c r="AM85" s="1287">
        <v>1</v>
      </c>
      <c r="AN85" s="1287">
        <v>5</v>
      </c>
      <c r="AO85" s="1287">
        <v>2</v>
      </c>
      <c r="AP85" s="1287">
        <v>1</v>
      </c>
      <c r="AQ85" s="1287">
        <v>5</v>
      </c>
      <c r="AR85" s="1287">
        <v>1</v>
      </c>
      <c r="AS85" s="1287">
        <v>2</v>
      </c>
      <c r="AT85" s="1287">
        <v>1</v>
      </c>
      <c r="AU85" s="1287">
        <v>1</v>
      </c>
      <c r="AV85" s="1287">
        <v>105</v>
      </c>
    </row>
    <row r="86" spans="1:48">
      <c r="A86" s="498">
        <v>66</v>
      </c>
      <c r="B86" s="1286">
        <v>110</v>
      </c>
      <c r="C86" s="1286">
        <v>9</v>
      </c>
      <c r="D86" s="1286">
        <v>12</v>
      </c>
      <c r="E86" s="1286">
        <v>19</v>
      </c>
      <c r="F86" s="1286">
        <v>2</v>
      </c>
      <c r="G86" s="1286">
        <v>3</v>
      </c>
      <c r="H86" s="1286">
        <v>11</v>
      </c>
      <c r="I86" s="1286">
        <v>1</v>
      </c>
      <c r="J86" s="1286">
        <v>3</v>
      </c>
      <c r="K86" s="1286">
        <v>7</v>
      </c>
      <c r="L86" s="1286">
        <v>2</v>
      </c>
      <c r="M86" s="1286">
        <v>12</v>
      </c>
      <c r="N86" s="1286">
        <v>13</v>
      </c>
      <c r="O86" s="1286">
        <v>6</v>
      </c>
      <c r="P86" s="1286">
        <v>210</v>
      </c>
      <c r="Q86" s="498">
        <v>66</v>
      </c>
      <c r="R86" s="679">
        <v>59</v>
      </c>
      <c r="S86" s="679">
        <v>5</v>
      </c>
      <c r="T86" s="679">
        <v>9</v>
      </c>
      <c r="U86" s="679">
        <v>6</v>
      </c>
      <c r="V86" s="679">
        <v>1</v>
      </c>
      <c r="W86" s="679">
        <v>2</v>
      </c>
      <c r="X86" s="679">
        <v>4</v>
      </c>
      <c r="Y86" s="679">
        <v>0</v>
      </c>
      <c r="Z86" s="679">
        <v>2</v>
      </c>
      <c r="AA86" s="679">
        <v>5</v>
      </c>
      <c r="AB86" s="679">
        <v>2</v>
      </c>
      <c r="AC86" s="679">
        <v>2</v>
      </c>
      <c r="AD86" s="679">
        <v>7</v>
      </c>
      <c r="AE86" s="679">
        <v>1</v>
      </c>
      <c r="AF86" s="679">
        <v>105</v>
      </c>
      <c r="AG86" s="498">
        <v>66</v>
      </c>
      <c r="AH86" s="1287">
        <v>51</v>
      </c>
      <c r="AI86" s="1287">
        <v>4</v>
      </c>
      <c r="AJ86" s="1287">
        <v>3</v>
      </c>
      <c r="AK86" s="1287">
        <v>13</v>
      </c>
      <c r="AL86" s="1287">
        <v>1</v>
      </c>
      <c r="AM86" s="1287">
        <v>1</v>
      </c>
      <c r="AN86" s="1287">
        <v>7</v>
      </c>
      <c r="AO86" s="1287">
        <v>1</v>
      </c>
      <c r="AP86" s="1287">
        <v>1</v>
      </c>
      <c r="AQ86" s="1287">
        <v>2</v>
      </c>
      <c r="AR86" s="1287">
        <v>0</v>
      </c>
      <c r="AS86" s="1287">
        <v>10</v>
      </c>
      <c r="AT86" s="1287">
        <v>6</v>
      </c>
      <c r="AU86" s="1287">
        <v>5</v>
      </c>
      <c r="AV86" s="1287">
        <v>105</v>
      </c>
    </row>
    <row r="87" spans="1:48">
      <c r="A87" s="498">
        <v>67</v>
      </c>
      <c r="B87" s="1286">
        <v>111</v>
      </c>
      <c r="C87" s="1286">
        <v>6</v>
      </c>
      <c r="D87" s="1286">
        <v>6</v>
      </c>
      <c r="E87" s="1286">
        <v>9</v>
      </c>
      <c r="F87" s="1286">
        <v>7</v>
      </c>
      <c r="G87" s="1286">
        <v>4</v>
      </c>
      <c r="H87" s="1286">
        <v>4</v>
      </c>
      <c r="I87" s="1286">
        <v>3</v>
      </c>
      <c r="J87" s="1286">
        <v>3</v>
      </c>
      <c r="K87" s="1286">
        <v>9</v>
      </c>
      <c r="L87" s="1286">
        <v>5</v>
      </c>
      <c r="M87" s="1286">
        <v>2</v>
      </c>
      <c r="N87" s="1286">
        <v>4</v>
      </c>
      <c r="O87" s="1286">
        <v>5</v>
      </c>
      <c r="P87" s="1286">
        <v>178</v>
      </c>
      <c r="Q87" s="498">
        <v>67</v>
      </c>
      <c r="R87" s="679">
        <v>44</v>
      </c>
      <c r="S87" s="679">
        <v>3</v>
      </c>
      <c r="T87" s="679">
        <v>3</v>
      </c>
      <c r="U87" s="679">
        <v>3</v>
      </c>
      <c r="V87" s="679">
        <v>2</v>
      </c>
      <c r="W87" s="679">
        <v>3</v>
      </c>
      <c r="X87" s="679">
        <v>1</v>
      </c>
      <c r="Y87" s="679">
        <v>0</v>
      </c>
      <c r="Z87" s="679">
        <v>0</v>
      </c>
      <c r="AA87" s="679">
        <v>3</v>
      </c>
      <c r="AB87" s="679">
        <v>1</v>
      </c>
      <c r="AC87" s="679">
        <v>1</v>
      </c>
      <c r="AD87" s="679">
        <v>1</v>
      </c>
      <c r="AE87" s="679">
        <v>1</v>
      </c>
      <c r="AF87" s="679">
        <v>66</v>
      </c>
      <c r="AG87" s="498">
        <v>67</v>
      </c>
      <c r="AH87" s="1287">
        <v>67</v>
      </c>
      <c r="AI87" s="1287">
        <v>3</v>
      </c>
      <c r="AJ87" s="1287">
        <v>3</v>
      </c>
      <c r="AK87" s="1287">
        <v>6</v>
      </c>
      <c r="AL87" s="1287">
        <v>5</v>
      </c>
      <c r="AM87" s="1287">
        <v>1</v>
      </c>
      <c r="AN87" s="1287">
        <v>3</v>
      </c>
      <c r="AO87" s="1287">
        <v>3</v>
      </c>
      <c r="AP87" s="1287">
        <v>3</v>
      </c>
      <c r="AQ87" s="1287">
        <v>6</v>
      </c>
      <c r="AR87" s="1287">
        <v>4</v>
      </c>
      <c r="AS87" s="1287">
        <v>1</v>
      </c>
      <c r="AT87" s="1287">
        <v>3</v>
      </c>
      <c r="AU87" s="1287">
        <v>4</v>
      </c>
      <c r="AV87" s="1287">
        <v>112</v>
      </c>
    </row>
    <row r="88" spans="1:48">
      <c r="A88" s="498">
        <v>68</v>
      </c>
      <c r="B88" s="1286">
        <v>102</v>
      </c>
      <c r="C88" s="1286">
        <v>4</v>
      </c>
      <c r="D88" s="1286">
        <v>7</v>
      </c>
      <c r="E88" s="1286">
        <v>8</v>
      </c>
      <c r="F88" s="1286">
        <v>6</v>
      </c>
      <c r="G88" s="1286">
        <v>3</v>
      </c>
      <c r="H88" s="1286">
        <v>6</v>
      </c>
      <c r="I88" s="1286">
        <v>7</v>
      </c>
      <c r="J88" s="1286">
        <v>4</v>
      </c>
      <c r="K88" s="1286">
        <v>6</v>
      </c>
      <c r="L88" s="1286">
        <v>4</v>
      </c>
      <c r="M88" s="1286">
        <v>13</v>
      </c>
      <c r="N88" s="1286">
        <v>3</v>
      </c>
      <c r="O88" s="1286">
        <v>1</v>
      </c>
      <c r="P88" s="1286">
        <v>174</v>
      </c>
      <c r="Q88" s="498">
        <v>68</v>
      </c>
      <c r="R88" s="679">
        <v>40</v>
      </c>
      <c r="S88" s="679">
        <v>1</v>
      </c>
      <c r="T88" s="679">
        <v>3</v>
      </c>
      <c r="U88" s="679">
        <v>4</v>
      </c>
      <c r="V88" s="679">
        <v>0</v>
      </c>
      <c r="W88" s="679">
        <v>1</v>
      </c>
      <c r="X88" s="679">
        <v>2</v>
      </c>
      <c r="Y88" s="679">
        <v>4</v>
      </c>
      <c r="Z88" s="679">
        <v>2</v>
      </c>
      <c r="AA88" s="679">
        <v>4</v>
      </c>
      <c r="AB88" s="679">
        <v>1</v>
      </c>
      <c r="AC88" s="679">
        <v>5</v>
      </c>
      <c r="AD88" s="679">
        <v>2</v>
      </c>
      <c r="AE88" s="679">
        <v>0</v>
      </c>
      <c r="AF88" s="679">
        <v>69</v>
      </c>
      <c r="AG88" s="498">
        <v>68</v>
      </c>
      <c r="AH88" s="1287">
        <v>62</v>
      </c>
      <c r="AI88" s="1287">
        <v>3</v>
      </c>
      <c r="AJ88" s="1287">
        <v>4</v>
      </c>
      <c r="AK88" s="1287">
        <v>4</v>
      </c>
      <c r="AL88" s="1287">
        <v>6</v>
      </c>
      <c r="AM88" s="1287">
        <v>2</v>
      </c>
      <c r="AN88" s="1287">
        <v>4</v>
      </c>
      <c r="AO88" s="1287">
        <v>3</v>
      </c>
      <c r="AP88" s="1287">
        <v>2</v>
      </c>
      <c r="AQ88" s="1287">
        <v>2</v>
      </c>
      <c r="AR88" s="1287">
        <v>3</v>
      </c>
      <c r="AS88" s="1287">
        <v>8</v>
      </c>
      <c r="AT88" s="1287">
        <v>1</v>
      </c>
      <c r="AU88" s="1287">
        <v>1</v>
      </c>
      <c r="AV88" s="1287">
        <v>105</v>
      </c>
    </row>
    <row r="89" spans="1:48">
      <c r="A89" s="498">
        <v>69</v>
      </c>
      <c r="B89" s="1286">
        <v>107</v>
      </c>
      <c r="C89" s="1286">
        <v>5</v>
      </c>
      <c r="D89" s="1286">
        <v>9</v>
      </c>
      <c r="E89" s="1286">
        <v>16</v>
      </c>
      <c r="F89" s="1286">
        <v>6</v>
      </c>
      <c r="G89" s="1286">
        <v>4</v>
      </c>
      <c r="H89" s="1286">
        <v>6</v>
      </c>
      <c r="I89" s="1286">
        <v>2</v>
      </c>
      <c r="J89" s="1286">
        <v>5</v>
      </c>
      <c r="K89" s="1286">
        <v>2</v>
      </c>
      <c r="L89" s="1286">
        <v>0</v>
      </c>
      <c r="M89" s="1286">
        <v>7</v>
      </c>
      <c r="N89" s="1286">
        <v>9</v>
      </c>
      <c r="O89" s="1286">
        <v>4</v>
      </c>
      <c r="P89" s="1286">
        <v>182</v>
      </c>
      <c r="Q89" s="498">
        <v>69</v>
      </c>
      <c r="R89" s="679">
        <v>44</v>
      </c>
      <c r="S89" s="679">
        <v>2</v>
      </c>
      <c r="T89" s="679">
        <v>4</v>
      </c>
      <c r="U89" s="679">
        <v>8</v>
      </c>
      <c r="V89" s="679">
        <v>4</v>
      </c>
      <c r="W89" s="679">
        <v>2</v>
      </c>
      <c r="X89" s="679">
        <v>3</v>
      </c>
      <c r="Y89" s="679">
        <v>1</v>
      </c>
      <c r="Z89" s="679">
        <v>1</v>
      </c>
      <c r="AA89" s="679">
        <v>1</v>
      </c>
      <c r="AB89" s="679">
        <v>0</v>
      </c>
      <c r="AC89" s="679">
        <v>3</v>
      </c>
      <c r="AD89" s="679">
        <v>5</v>
      </c>
      <c r="AE89" s="679">
        <v>3</v>
      </c>
      <c r="AF89" s="679">
        <v>81</v>
      </c>
      <c r="AG89" s="498">
        <v>69</v>
      </c>
      <c r="AH89" s="1287">
        <v>63</v>
      </c>
      <c r="AI89" s="1287">
        <v>3</v>
      </c>
      <c r="AJ89" s="1287">
        <v>5</v>
      </c>
      <c r="AK89" s="1287">
        <v>8</v>
      </c>
      <c r="AL89" s="1287">
        <v>2</v>
      </c>
      <c r="AM89" s="1287">
        <v>2</v>
      </c>
      <c r="AN89" s="1287">
        <v>3</v>
      </c>
      <c r="AO89" s="1287">
        <v>1</v>
      </c>
      <c r="AP89" s="1287">
        <v>4</v>
      </c>
      <c r="AQ89" s="1287">
        <v>1</v>
      </c>
      <c r="AR89" s="1287">
        <v>0</v>
      </c>
      <c r="AS89" s="1287">
        <v>4</v>
      </c>
      <c r="AT89" s="1287">
        <v>4</v>
      </c>
      <c r="AU89" s="1287">
        <v>1</v>
      </c>
      <c r="AV89" s="1287">
        <v>101</v>
      </c>
    </row>
    <row r="90" spans="1:48">
      <c r="A90" s="498" t="s">
        <v>2333</v>
      </c>
      <c r="B90" s="1286">
        <v>559</v>
      </c>
      <c r="C90" s="1286">
        <v>32</v>
      </c>
      <c r="D90" s="1286">
        <v>36</v>
      </c>
      <c r="E90" s="1286">
        <v>59</v>
      </c>
      <c r="F90" s="1286">
        <v>24</v>
      </c>
      <c r="G90" s="1286">
        <v>17</v>
      </c>
      <c r="H90" s="1286">
        <v>35</v>
      </c>
      <c r="I90" s="1286">
        <v>16</v>
      </c>
      <c r="J90" s="1286">
        <v>20</v>
      </c>
      <c r="K90" s="1286">
        <v>31</v>
      </c>
      <c r="L90" s="1286">
        <v>13</v>
      </c>
      <c r="M90" s="1286">
        <v>39</v>
      </c>
      <c r="N90" s="1286">
        <v>31</v>
      </c>
      <c r="O90" s="1286">
        <v>17</v>
      </c>
      <c r="P90" s="1286">
        <v>929</v>
      </c>
      <c r="Q90" s="498" t="s">
        <v>2333</v>
      </c>
      <c r="R90" s="679">
        <v>241</v>
      </c>
      <c r="S90" s="679">
        <v>17</v>
      </c>
      <c r="T90" s="679">
        <v>19</v>
      </c>
      <c r="U90" s="679">
        <v>23</v>
      </c>
      <c r="V90" s="679">
        <v>8</v>
      </c>
      <c r="W90" s="679">
        <v>10</v>
      </c>
      <c r="X90" s="679">
        <v>13</v>
      </c>
      <c r="Y90" s="679">
        <v>6</v>
      </c>
      <c r="Z90" s="679">
        <v>9</v>
      </c>
      <c r="AA90" s="679">
        <v>15</v>
      </c>
      <c r="AB90" s="679">
        <v>5</v>
      </c>
      <c r="AC90" s="679">
        <v>14</v>
      </c>
      <c r="AD90" s="679">
        <v>16</v>
      </c>
      <c r="AE90" s="679">
        <v>5</v>
      </c>
      <c r="AF90" s="679">
        <v>401</v>
      </c>
      <c r="AG90" s="498" t="s">
        <v>2333</v>
      </c>
      <c r="AH90" s="1287">
        <v>318</v>
      </c>
      <c r="AI90" s="1287">
        <v>15</v>
      </c>
      <c r="AJ90" s="1287">
        <v>17</v>
      </c>
      <c r="AK90" s="1287">
        <v>36</v>
      </c>
      <c r="AL90" s="1287">
        <v>16</v>
      </c>
      <c r="AM90" s="1287">
        <v>7</v>
      </c>
      <c r="AN90" s="1287">
        <v>22</v>
      </c>
      <c r="AO90" s="1287">
        <v>10</v>
      </c>
      <c r="AP90" s="1287">
        <v>11</v>
      </c>
      <c r="AQ90" s="1287">
        <v>16</v>
      </c>
      <c r="AR90" s="1287">
        <v>8</v>
      </c>
      <c r="AS90" s="1287">
        <v>25</v>
      </c>
      <c r="AT90" s="1287">
        <v>15</v>
      </c>
      <c r="AU90" s="1287">
        <v>12</v>
      </c>
      <c r="AV90" s="1287">
        <v>528</v>
      </c>
    </row>
    <row r="91" spans="1:48">
      <c r="A91" s="498">
        <v>70</v>
      </c>
      <c r="B91" s="1286">
        <v>139</v>
      </c>
      <c r="C91" s="1286">
        <v>6</v>
      </c>
      <c r="D91" s="1286">
        <v>2</v>
      </c>
      <c r="E91" s="1286">
        <v>14</v>
      </c>
      <c r="F91" s="1286">
        <v>3</v>
      </c>
      <c r="G91" s="1286">
        <v>2</v>
      </c>
      <c r="H91" s="1286">
        <v>10</v>
      </c>
      <c r="I91" s="1286">
        <v>4</v>
      </c>
      <c r="J91" s="1286">
        <v>3</v>
      </c>
      <c r="K91" s="1286">
        <v>5</v>
      </c>
      <c r="L91" s="1286">
        <v>3</v>
      </c>
      <c r="M91" s="1286">
        <v>6</v>
      </c>
      <c r="N91" s="1286">
        <v>3</v>
      </c>
      <c r="O91" s="1286">
        <v>4</v>
      </c>
      <c r="P91" s="1286">
        <v>204</v>
      </c>
      <c r="Q91" s="498">
        <v>70</v>
      </c>
      <c r="R91" s="679">
        <v>58</v>
      </c>
      <c r="S91" s="679">
        <v>3</v>
      </c>
      <c r="T91" s="679">
        <v>2</v>
      </c>
      <c r="U91" s="679">
        <v>10</v>
      </c>
      <c r="V91" s="679">
        <v>1</v>
      </c>
      <c r="W91" s="679">
        <v>2</v>
      </c>
      <c r="X91" s="679">
        <v>3</v>
      </c>
      <c r="Y91" s="679">
        <v>2</v>
      </c>
      <c r="Z91" s="679">
        <v>0</v>
      </c>
      <c r="AA91" s="679">
        <v>1</v>
      </c>
      <c r="AB91" s="679">
        <v>0</v>
      </c>
      <c r="AC91" s="679">
        <v>2</v>
      </c>
      <c r="AD91" s="679">
        <v>0</v>
      </c>
      <c r="AE91" s="679">
        <v>1</v>
      </c>
      <c r="AF91" s="679">
        <v>85</v>
      </c>
      <c r="AG91" s="498">
        <v>70</v>
      </c>
      <c r="AH91" s="1287">
        <v>81</v>
      </c>
      <c r="AI91" s="1287">
        <v>3</v>
      </c>
      <c r="AJ91" s="1287">
        <v>0</v>
      </c>
      <c r="AK91" s="1287">
        <v>4</v>
      </c>
      <c r="AL91" s="1287">
        <v>2</v>
      </c>
      <c r="AM91" s="1287">
        <v>0</v>
      </c>
      <c r="AN91" s="1287">
        <v>7</v>
      </c>
      <c r="AO91" s="1287">
        <v>2</v>
      </c>
      <c r="AP91" s="1287">
        <v>3</v>
      </c>
      <c r="AQ91" s="1287">
        <v>4</v>
      </c>
      <c r="AR91" s="1287">
        <v>3</v>
      </c>
      <c r="AS91" s="1287">
        <v>4</v>
      </c>
      <c r="AT91" s="1287">
        <v>3</v>
      </c>
      <c r="AU91" s="1287">
        <v>3</v>
      </c>
      <c r="AV91" s="1287">
        <v>119</v>
      </c>
    </row>
    <row r="92" spans="1:48">
      <c r="A92" s="498">
        <v>71</v>
      </c>
      <c r="B92" s="1286">
        <v>90</v>
      </c>
      <c r="C92" s="1286">
        <v>3</v>
      </c>
      <c r="D92" s="1286">
        <v>5</v>
      </c>
      <c r="E92" s="1286">
        <v>8</v>
      </c>
      <c r="F92" s="1286">
        <v>6</v>
      </c>
      <c r="G92" s="1286">
        <v>0</v>
      </c>
      <c r="H92" s="1286">
        <v>5</v>
      </c>
      <c r="I92" s="1286">
        <v>5</v>
      </c>
      <c r="J92" s="1286">
        <v>2</v>
      </c>
      <c r="K92" s="1286">
        <v>1</v>
      </c>
      <c r="L92" s="1286">
        <v>3</v>
      </c>
      <c r="M92" s="1286">
        <v>7</v>
      </c>
      <c r="N92" s="1286">
        <v>5</v>
      </c>
      <c r="O92" s="1286">
        <v>4</v>
      </c>
      <c r="P92" s="1286">
        <v>144</v>
      </c>
      <c r="Q92" s="498">
        <v>71</v>
      </c>
      <c r="R92" s="679">
        <v>38</v>
      </c>
      <c r="S92" s="679">
        <v>0</v>
      </c>
      <c r="T92" s="679">
        <v>2</v>
      </c>
      <c r="U92" s="679">
        <v>5</v>
      </c>
      <c r="V92" s="679">
        <v>5</v>
      </c>
      <c r="W92" s="679">
        <v>0</v>
      </c>
      <c r="X92" s="679">
        <v>4</v>
      </c>
      <c r="Y92" s="679">
        <v>2</v>
      </c>
      <c r="Z92" s="679">
        <v>1</v>
      </c>
      <c r="AA92" s="679">
        <v>1</v>
      </c>
      <c r="AB92" s="679">
        <v>1</v>
      </c>
      <c r="AC92" s="679">
        <v>3</v>
      </c>
      <c r="AD92" s="679">
        <v>3</v>
      </c>
      <c r="AE92" s="679">
        <v>1</v>
      </c>
      <c r="AF92" s="679">
        <v>66</v>
      </c>
      <c r="AG92" s="498">
        <v>71</v>
      </c>
      <c r="AH92" s="1287">
        <v>52</v>
      </c>
      <c r="AI92" s="1287">
        <v>3</v>
      </c>
      <c r="AJ92" s="1287">
        <v>3</v>
      </c>
      <c r="AK92" s="1287">
        <v>3</v>
      </c>
      <c r="AL92" s="1287">
        <v>1</v>
      </c>
      <c r="AM92" s="1287">
        <v>0</v>
      </c>
      <c r="AN92" s="1287">
        <v>1</v>
      </c>
      <c r="AO92" s="1287">
        <v>3</v>
      </c>
      <c r="AP92" s="1287">
        <v>1</v>
      </c>
      <c r="AQ92" s="1287">
        <v>0</v>
      </c>
      <c r="AR92" s="1287">
        <v>2</v>
      </c>
      <c r="AS92" s="1287">
        <v>4</v>
      </c>
      <c r="AT92" s="1287">
        <v>2</v>
      </c>
      <c r="AU92" s="1287">
        <v>3</v>
      </c>
      <c r="AV92" s="1287">
        <v>78</v>
      </c>
    </row>
    <row r="93" spans="1:48">
      <c r="A93" s="498">
        <v>72</v>
      </c>
      <c r="B93" s="1286">
        <v>121</v>
      </c>
      <c r="C93" s="1286">
        <v>9</v>
      </c>
      <c r="D93" s="1286">
        <v>12</v>
      </c>
      <c r="E93" s="1286">
        <v>10</v>
      </c>
      <c r="F93" s="1286">
        <v>1</v>
      </c>
      <c r="G93" s="1286">
        <v>3</v>
      </c>
      <c r="H93" s="1286">
        <v>7</v>
      </c>
      <c r="I93" s="1286">
        <v>5</v>
      </c>
      <c r="J93" s="1286">
        <v>5</v>
      </c>
      <c r="K93" s="1286">
        <v>5</v>
      </c>
      <c r="L93" s="1286">
        <v>1</v>
      </c>
      <c r="M93" s="1286">
        <v>9</v>
      </c>
      <c r="N93" s="1286">
        <v>7</v>
      </c>
      <c r="O93" s="1286">
        <v>4</v>
      </c>
      <c r="P93" s="1286">
        <v>199</v>
      </c>
      <c r="Q93" s="498">
        <v>72</v>
      </c>
      <c r="R93" s="679">
        <v>56</v>
      </c>
      <c r="S93" s="679">
        <v>7</v>
      </c>
      <c r="T93" s="679">
        <v>4</v>
      </c>
      <c r="U93" s="679">
        <v>3</v>
      </c>
      <c r="V93" s="679">
        <v>0</v>
      </c>
      <c r="W93" s="679">
        <v>0</v>
      </c>
      <c r="X93" s="679">
        <v>4</v>
      </c>
      <c r="Y93" s="679">
        <v>3</v>
      </c>
      <c r="Z93" s="679">
        <v>2</v>
      </c>
      <c r="AA93" s="679">
        <v>0</v>
      </c>
      <c r="AB93" s="679">
        <v>1</v>
      </c>
      <c r="AC93" s="679">
        <v>4</v>
      </c>
      <c r="AD93" s="679">
        <v>2</v>
      </c>
      <c r="AE93" s="679">
        <v>2</v>
      </c>
      <c r="AF93" s="679">
        <v>88</v>
      </c>
      <c r="AG93" s="498">
        <v>72</v>
      </c>
      <c r="AH93" s="1287">
        <v>65</v>
      </c>
      <c r="AI93" s="1287">
        <v>2</v>
      </c>
      <c r="AJ93" s="1287">
        <v>8</v>
      </c>
      <c r="AK93" s="1287">
        <v>7</v>
      </c>
      <c r="AL93" s="1287">
        <v>1</v>
      </c>
      <c r="AM93" s="1287">
        <v>3</v>
      </c>
      <c r="AN93" s="1287">
        <v>3</v>
      </c>
      <c r="AO93" s="1287">
        <v>2</v>
      </c>
      <c r="AP93" s="1287">
        <v>3</v>
      </c>
      <c r="AQ93" s="1287">
        <v>5</v>
      </c>
      <c r="AR93" s="1287">
        <v>0</v>
      </c>
      <c r="AS93" s="1287">
        <v>5</v>
      </c>
      <c r="AT93" s="1287">
        <v>5</v>
      </c>
      <c r="AU93" s="1287">
        <v>2</v>
      </c>
      <c r="AV93" s="1287">
        <v>111</v>
      </c>
    </row>
    <row r="94" spans="1:48">
      <c r="A94" s="498">
        <v>73</v>
      </c>
      <c r="B94" s="1286">
        <v>63</v>
      </c>
      <c r="C94" s="1286">
        <v>3</v>
      </c>
      <c r="D94" s="1286">
        <v>1</v>
      </c>
      <c r="E94" s="1286">
        <v>11</v>
      </c>
      <c r="F94" s="1286">
        <v>4</v>
      </c>
      <c r="G94" s="1286">
        <v>1</v>
      </c>
      <c r="H94" s="1286">
        <v>4</v>
      </c>
      <c r="I94" s="1286">
        <v>3</v>
      </c>
      <c r="J94" s="1286">
        <v>3</v>
      </c>
      <c r="K94" s="1286">
        <v>5</v>
      </c>
      <c r="L94" s="1286">
        <v>4</v>
      </c>
      <c r="M94" s="1286">
        <v>3</v>
      </c>
      <c r="N94" s="1286">
        <v>8</v>
      </c>
      <c r="O94" s="1286">
        <v>2</v>
      </c>
      <c r="P94" s="1286">
        <v>115</v>
      </c>
      <c r="Q94" s="498">
        <v>73</v>
      </c>
      <c r="R94" s="679">
        <v>28</v>
      </c>
      <c r="S94" s="679">
        <v>1</v>
      </c>
      <c r="T94" s="679">
        <v>0</v>
      </c>
      <c r="U94" s="679">
        <v>6</v>
      </c>
      <c r="V94" s="679">
        <v>0</v>
      </c>
      <c r="W94" s="679">
        <v>1</v>
      </c>
      <c r="X94" s="679">
        <v>2</v>
      </c>
      <c r="Y94" s="679">
        <v>1</v>
      </c>
      <c r="Z94" s="679">
        <v>1</v>
      </c>
      <c r="AA94" s="679">
        <v>3</v>
      </c>
      <c r="AB94" s="679">
        <v>2</v>
      </c>
      <c r="AC94" s="679">
        <v>2</v>
      </c>
      <c r="AD94" s="679">
        <v>2</v>
      </c>
      <c r="AE94" s="679">
        <v>1</v>
      </c>
      <c r="AF94" s="679">
        <v>50</v>
      </c>
      <c r="AG94" s="498">
        <v>73</v>
      </c>
      <c r="AH94" s="1287">
        <v>35</v>
      </c>
      <c r="AI94" s="1287">
        <v>2</v>
      </c>
      <c r="AJ94" s="1287">
        <v>1</v>
      </c>
      <c r="AK94" s="1287">
        <v>5</v>
      </c>
      <c r="AL94" s="1287">
        <v>4</v>
      </c>
      <c r="AM94" s="1287">
        <v>0</v>
      </c>
      <c r="AN94" s="1287">
        <v>2</v>
      </c>
      <c r="AO94" s="1287">
        <v>2</v>
      </c>
      <c r="AP94" s="1287">
        <v>2</v>
      </c>
      <c r="AQ94" s="1287">
        <v>2</v>
      </c>
      <c r="AR94" s="1287">
        <v>2</v>
      </c>
      <c r="AS94" s="1287">
        <v>1</v>
      </c>
      <c r="AT94" s="1287">
        <v>6</v>
      </c>
      <c r="AU94" s="1287">
        <v>1</v>
      </c>
      <c r="AV94" s="1287">
        <v>65</v>
      </c>
    </row>
    <row r="95" spans="1:48">
      <c r="A95" s="498">
        <v>74</v>
      </c>
      <c r="B95" s="1286">
        <v>68</v>
      </c>
      <c r="C95" s="1286">
        <v>7</v>
      </c>
      <c r="D95" s="1286">
        <v>0</v>
      </c>
      <c r="E95" s="1286">
        <v>7</v>
      </c>
      <c r="F95" s="1286">
        <v>3</v>
      </c>
      <c r="G95" s="1286">
        <v>1</v>
      </c>
      <c r="H95" s="1286">
        <v>3</v>
      </c>
      <c r="I95" s="1286">
        <v>1</v>
      </c>
      <c r="J95" s="1286">
        <v>3</v>
      </c>
      <c r="K95" s="1286">
        <v>4</v>
      </c>
      <c r="L95" s="1286">
        <v>3</v>
      </c>
      <c r="M95" s="1286">
        <v>5</v>
      </c>
      <c r="N95" s="1286">
        <v>1</v>
      </c>
      <c r="O95" s="1286">
        <v>3</v>
      </c>
      <c r="P95" s="1286">
        <v>109</v>
      </c>
      <c r="Q95" s="498">
        <v>74</v>
      </c>
      <c r="R95" s="679">
        <v>34</v>
      </c>
      <c r="S95" s="679">
        <v>4</v>
      </c>
      <c r="T95" s="679">
        <v>0</v>
      </c>
      <c r="U95" s="679">
        <v>5</v>
      </c>
      <c r="V95" s="679">
        <v>2</v>
      </c>
      <c r="W95" s="679">
        <v>0</v>
      </c>
      <c r="X95" s="679">
        <v>0</v>
      </c>
      <c r="Y95" s="679">
        <v>0</v>
      </c>
      <c r="Z95" s="679">
        <v>0</v>
      </c>
      <c r="AA95" s="679">
        <v>2</v>
      </c>
      <c r="AB95" s="679">
        <v>0</v>
      </c>
      <c r="AC95" s="679">
        <v>1</v>
      </c>
      <c r="AD95" s="679">
        <v>1</v>
      </c>
      <c r="AE95" s="679">
        <v>2</v>
      </c>
      <c r="AF95" s="679">
        <v>51</v>
      </c>
      <c r="AG95" s="498">
        <v>74</v>
      </c>
      <c r="AH95" s="1287">
        <v>34</v>
      </c>
      <c r="AI95" s="1287">
        <v>3</v>
      </c>
      <c r="AJ95" s="1287">
        <v>0</v>
      </c>
      <c r="AK95" s="1287">
        <v>2</v>
      </c>
      <c r="AL95" s="1287">
        <v>1</v>
      </c>
      <c r="AM95" s="1287">
        <v>1</v>
      </c>
      <c r="AN95" s="1287">
        <v>3</v>
      </c>
      <c r="AO95" s="1287">
        <v>1</v>
      </c>
      <c r="AP95" s="1287">
        <v>3</v>
      </c>
      <c r="AQ95" s="1287">
        <v>2</v>
      </c>
      <c r="AR95" s="1287">
        <v>3</v>
      </c>
      <c r="AS95" s="1287">
        <v>4</v>
      </c>
      <c r="AT95" s="1287">
        <v>0</v>
      </c>
      <c r="AU95" s="1287">
        <v>1</v>
      </c>
      <c r="AV95" s="1287">
        <v>58</v>
      </c>
    </row>
    <row r="96" spans="1:48">
      <c r="A96" s="498" t="s">
        <v>2334</v>
      </c>
      <c r="B96" s="1286">
        <v>481</v>
      </c>
      <c r="C96" s="1286">
        <v>28</v>
      </c>
      <c r="D96" s="1286">
        <v>20</v>
      </c>
      <c r="E96" s="1286">
        <v>50</v>
      </c>
      <c r="F96" s="1286">
        <v>17</v>
      </c>
      <c r="G96" s="1286">
        <v>7</v>
      </c>
      <c r="H96" s="1286">
        <v>29</v>
      </c>
      <c r="I96" s="1286">
        <v>18</v>
      </c>
      <c r="J96" s="1286">
        <v>16</v>
      </c>
      <c r="K96" s="1286">
        <v>20</v>
      </c>
      <c r="L96" s="1286">
        <v>14</v>
      </c>
      <c r="M96" s="1286">
        <v>30</v>
      </c>
      <c r="N96" s="1286">
        <v>24</v>
      </c>
      <c r="O96" s="1286">
        <v>17</v>
      </c>
      <c r="P96" s="1286">
        <v>771</v>
      </c>
      <c r="Q96" s="498" t="s">
        <v>2334</v>
      </c>
      <c r="R96" s="679">
        <v>214</v>
      </c>
      <c r="S96" s="679">
        <v>15</v>
      </c>
      <c r="T96" s="679">
        <v>8</v>
      </c>
      <c r="U96" s="679">
        <v>29</v>
      </c>
      <c r="V96" s="679">
        <v>8</v>
      </c>
      <c r="W96" s="679">
        <v>3</v>
      </c>
      <c r="X96" s="679">
        <v>13</v>
      </c>
      <c r="Y96" s="679">
        <v>8</v>
      </c>
      <c r="Z96" s="679">
        <v>4</v>
      </c>
      <c r="AA96" s="679">
        <v>7</v>
      </c>
      <c r="AB96" s="679">
        <v>4</v>
      </c>
      <c r="AC96" s="679">
        <v>12</v>
      </c>
      <c r="AD96" s="679">
        <v>8</v>
      </c>
      <c r="AE96" s="679">
        <v>7</v>
      </c>
      <c r="AF96" s="679">
        <v>340</v>
      </c>
      <c r="AG96" s="498" t="s">
        <v>2334</v>
      </c>
      <c r="AH96" s="1287">
        <v>267</v>
      </c>
      <c r="AI96" s="1287">
        <v>13</v>
      </c>
      <c r="AJ96" s="1287">
        <v>12</v>
      </c>
      <c r="AK96" s="1287">
        <v>21</v>
      </c>
      <c r="AL96" s="1287">
        <v>9</v>
      </c>
      <c r="AM96" s="1287">
        <v>4</v>
      </c>
      <c r="AN96" s="1287">
        <v>16</v>
      </c>
      <c r="AO96" s="1287">
        <v>10</v>
      </c>
      <c r="AP96" s="1287">
        <v>12</v>
      </c>
      <c r="AQ96" s="1287">
        <v>13</v>
      </c>
      <c r="AR96" s="1287">
        <v>10</v>
      </c>
      <c r="AS96" s="1287">
        <v>18</v>
      </c>
      <c r="AT96" s="1287">
        <v>16</v>
      </c>
      <c r="AU96" s="1287">
        <v>10</v>
      </c>
      <c r="AV96" s="1287">
        <v>431</v>
      </c>
    </row>
    <row r="97" spans="1:48">
      <c r="A97" s="498">
        <v>75</v>
      </c>
      <c r="B97" s="1286">
        <v>78</v>
      </c>
      <c r="C97" s="1286">
        <v>3</v>
      </c>
      <c r="D97" s="1286">
        <v>5</v>
      </c>
      <c r="E97" s="1286">
        <v>3</v>
      </c>
      <c r="F97" s="1286">
        <v>2</v>
      </c>
      <c r="G97" s="1286">
        <v>0</v>
      </c>
      <c r="H97" s="1286">
        <v>7</v>
      </c>
      <c r="I97" s="1286">
        <v>3</v>
      </c>
      <c r="J97" s="1286">
        <v>1</v>
      </c>
      <c r="K97" s="1286">
        <v>2</v>
      </c>
      <c r="L97" s="1286">
        <v>3</v>
      </c>
      <c r="M97" s="1286">
        <v>0</v>
      </c>
      <c r="N97" s="1286">
        <v>1</v>
      </c>
      <c r="O97" s="1286">
        <v>2</v>
      </c>
      <c r="P97" s="1286">
        <v>110</v>
      </c>
      <c r="Q97" s="498">
        <v>75</v>
      </c>
      <c r="R97" s="679">
        <v>26</v>
      </c>
      <c r="S97" s="679">
        <v>0</v>
      </c>
      <c r="T97" s="679">
        <v>2</v>
      </c>
      <c r="U97" s="679">
        <v>0</v>
      </c>
      <c r="V97" s="679">
        <v>2</v>
      </c>
      <c r="W97" s="679">
        <v>0</v>
      </c>
      <c r="X97" s="679">
        <v>2</v>
      </c>
      <c r="Y97" s="679">
        <v>1</v>
      </c>
      <c r="Z97" s="679">
        <v>0</v>
      </c>
      <c r="AA97" s="679">
        <v>0</v>
      </c>
      <c r="AB97" s="679">
        <v>1</v>
      </c>
      <c r="AC97" s="679">
        <v>0</v>
      </c>
      <c r="AD97" s="679">
        <v>0</v>
      </c>
      <c r="AE97" s="679">
        <v>0</v>
      </c>
      <c r="AF97" s="679">
        <v>34</v>
      </c>
      <c r="AG97" s="498">
        <v>75</v>
      </c>
      <c r="AH97" s="1287">
        <v>52</v>
      </c>
      <c r="AI97" s="1287">
        <v>3</v>
      </c>
      <c r="AJ97" s="1287">
        <v>3</v>
      </c>
      <c r="AK97" s="1287">
        <v>3</v>
      </c>
      <c r="AL97" s="1287">
        <v>0</v>
      </c>
      <c r="AM97" s="1287">
        <v>0</v>
      </c>
      <c r="AN97" s="1287">
        <v>5</v>
      </c>
      <c r="AO97" s="1287">
        <v>2</v>
      </c>
      <c r="AP97" s="1287">
        <v>1</v>
      </c>
      <c r="AQ97" s="1287">
        <v>2</v>
      </c>
      <c r="AR97" s="1287">
        <v>2</v>
      </c>
      <c r="AS97" s="1287">
        <v>0</v>
      </c>
      <c r="AT97" s="1287">
        <v>1</v>
      </c>
      <c r="AU97" s="1287">
        <v>2</v>
      </c>
      <c r="AV97" s="1287">
        <v>76</v>
      </c>
    </row>
    <row r="98" spans="1:48">
      <c r="A98" s="498">
        <v>76</v>
      </c>
      <c r="B98" s="1286">
        <v>57</v>
      </c>
      <c r="C98" s="1286">
        <v>4</v>
      </c>
      <c r="D98" s="1286">
        <v>3</v>
      </c>
      <c r="E98" s="1286">
        <v>9</v>
      </c>
      <c r="F98" s="1286">
        <v>4</v>
      </c>
      <c r="G98" s="1286">
        <v>2</v>
      </c>
      <c r="H98" s="1286">
        <v>0</v>
      </c>
      <c r="I98" s="1286">
        <v>1</v>
      </c>
      <c r="J98" s="1286">
        <v>4</v>
      </c>
      <c r="K98" s="1286">
        <v>1</v>
      </c>
      <c r="L98" s="1286">
        <v>3</v>
      </c>
      <c r="M98" s="1286">
        <v>5</v>
      </c>
      <c r="N98" s="1286">
        <v>4</v>
      </c>
      <c r="O98" s="1286">
        <v>2</v>
      </c>
      <c r="P98" s="1286">
        <v>99</v>
      </c>
      <c r="Q98" s="498">
        <v>76</v>
      </c>
      <c r="R98" s="679">
        <v>23</v>
      </c>
      <c r="S98" s="679">
        <v>2</v>
      </c>
      <c r="T98" s="679">
        <v>0</v>
      </c>
      <c r="U98" s="679">
        <v>6</v>
      </c>
      <c r="V98" s="679">
        <v>1</v>
      </c>
      <c r="W98" s="679">
        <v>2</v>
      </c>
      <c r="X98" s="679">
        <v>0</v>
      </c>
      <c r="Y98" s="679">
        <v>0</v>
      </c>
      <c r="Z98" s="679">
        <v>2</v>
      </c>
      <c r="AA98" s="679">
        <v>1</v>
      </c>
      <c r="AB98" s="679">
        <v>1</v>
      </c>
      <c r="AC98" s="679">
        <v>3</v>
      </c>
      <c r="AD98" s="679">
        <v>0</v>
      </c>
      <c r="AE98" s="679">
        <v>1</v>
      </c>
      <c r="AF98" s="679">
        <v>42</v>
      </c>
      <c r="AG98" s="498">
        <v>76</v>
      </c>
      <c r="AH98" s="1287">
        <v>34</v>
      </c>
      <c r="AI98" s="1287">
        <v>2</v>
      </c>
      <c r="AJ98" s="1287">
        <v>3</v>
      </c>
      <c r="AK98" s="1287">
        <v>3</v>
      </c>
      <c r="AL98" s="1287">
        <v>3</v>
      </c>
      <c r="AM98" s="1287">
        <v>0</v>
      </c>
      <c r="AN98" s="1287">
        <v>0</v>
      </c>
      <c r="AO98" s="1287">
        <v>1</v>
      </c>
      <c r="AP98" s="1287">
        <v>2</v>
      </c>
      <c r="AQ98" s="1287">
        <v>0</v>
      </c>
      <c r="AR98" s="1287">
        <v>2</v>
      </c>
      <c r="AS98" s="1287">
        <v>2</v>
      </c>
      <c r="AT98" s="1287">
        <v>4</v>
      </c>
      <c r="AU98" s="1287">
        <v>1</v>
      </c>
      <c r="AV98" s="1287">
        <v>57</v>
      </c>
    </row>
    <row r="99" spans="1:48">
      <c r="A99" s="498">
        <v>77</v>
      </c>
      <c r="B99" s="1286">
        <v>60</v>
      </c>
      <c r="C99" s="1286">
        <v>1</v>
      </c>
      <c r="D99" s="1286">
        <v>3</v>
      </c>
      <c r="E99" s="1286">
        <v>11</v>
      </c>
      <c r="F99" s="1286">
        <v>0</v>
      </c>
      <c r="G99" s="1286">
        <v>3</v>
      </c>
      <c r="H99" s="1286">
        <v>7</v>
      </c>
      <c r="I99" s="1286">
        <v>1</v>
      </c>
      <c r="J99" s="1286">
        <v>1</v>
      </c>
      <c r="K99" s="1286">
        <v>1</v>
      </c>
      <c r="L99" s="1286">
        <v>2</v>
      </c>
      <c r="M99" s="1286">
        <v>3</v>
      </c>
      <c r="N99" s="1286">
        <v>6</v>
      </c>
      <c r="O99" s="1286">
        <v>3</v>
      </c>
      <c r="P99" s="1286">
        <v>102</v>
      </c>
      <c r="Q99" s="498">
        <v>77</v>
      </c>
      <c r="R99" s="679">
        <v>19</v>
      </c>
      <c r="S99" s="679">
        <v>1</v>
      </c>
      <c r="T99" s="679">
        <v>1</v>
      </c>
      <c r="U99" s="679">
        <v>3</v>
      </c>
      <c r="V99" s="679">
        <v>0</v>
      </c>
      <c r="W99" s="679">
        <v>0</v>
      </c>
      <c r="X99" s="679">
        <v>2</v>
      </c>
      <c r="Y99" s="679">
        <v>0</v>
      </c>
      <c r="Z99" s="679">
        <v>0</v>
      </c>
      <c r="AA99" s="679">
        <v>1</v>
      </c>
      <c r="AB99" s="679">
        <v>1</v>
      </c>
      <c r="AC99" s="679">
        <v>1</v>
      </c>
      <c r="AD99" s="679">
        <v>4</v>
      </c>
      <c r="AE99" s="679">
        <v>1</v>
      </c>
      <c r="AF99" s="679">
        <v>34</v>
      </c>
      <c r="AG99" s="498">
        <v>77</v>
      </c>
      <c r="AH99" s="1287">
        <v>41</v>
      </c>
      <c r="AI99" s="1287">
        <v>0</v>
      </c>
      <c r="AJ99" s="1287">
        <v>2</v>
      </c>
      <c r="AK99" s="1287">
        <v>8</v>
      </c>
      <c r="AL99" s="1287">
        <v>0</v>
      </c>
      <c r="AM99" s="1287">
        <v>3</v>
      </c>
      <c r="AN99" s="1287">
        <v>5</v>
      </c>
      <c r="AO99" s="1287">
        <v>1</v>
      </c>
      <c r="AP99" s="1287">
        <v>1</v>
      </c>
      <c r="AQ99" s="1287">
        <v>0</v>
      </c>
      <c r="AR99" s="1287">
        <v>1</v>
      </c>
      <c r="AS99" s="1287">
        <v>2</v>
      </c>
      <c r="AT99" s="1287">
        <v>2</v>
      </c>
      <c r="AU99" s="1287">
        <v>2</v>
      </c>
      <c r="AV99" s="1287">
        <v>68</v>
      </c>
    </row>
    <row r="100" spans="1:48">
      <c r="A100" s="498">
        <v>78</v>
      </c>
      <c r="B100" s="1286">
        <v>69</v>
      </c>
      <c r="C100" s="1286">
        <v>6</v>
      </c>
      <c r="D100" s="1286">
        <v>6</v>
      </c>
      <c r="E100" s="1286">
        <v>8</v>
      </c>
      <c r="F100" s="1286">
        <v>4</v>
      </c>
      <c r="G100" s="1286">
        <v>3</v>
      </c>
      <c r="H100" s="1286">
        <v>6</v>
      </c>
      <c r="I100" s="1286">
        <v>2</v>
      </c>
      <c r="J100" s="1286">
        <v>2</v>
      </c>
      <c r="K100" s="1286">
        <v>5</v>
      </c>
      <c r="L100" s="1286">
        <v>1</v>
      </c>
      <c r="M100" s="1286">
        <v>2</v>
      </c>
      <c r="N100" s="1286">
        <v>5</v>
      </c>
      <c r="O100" s="1286">
        <v>3</v>
      </c>
      <c r="P100" s="1286">
        <v>122</v>
      </c>
      <c r="Q100" s="498">
        <v>78</v>
      </c>
      <c r="R100" s="679">
        <v>24</v>
      </c>
      <c r="S100" s="679">
        <v>5</v>
      </c>
      <c r="T100" s="679">
        <v>3</v>
      </c>
      <c r="U100" s="679">
        <v>2</v>
      </c>
      <c r="V100" s="679">
        <v>2</v>
      </c>
      <c r="W100" s="679">
        <v>0</v>
      </c>
      <c r="X100" s="679">
        <v>2</v>
      </c>
      <c r="Y100" s="679">
        <v>1</v>
      </c>
      <c r="Z100" s="679">
        <v>2</v>
      </c>
      <c r="AA100" s="679">
        <v>2</v>
      </c>
      <c r="AB100" s="679">
        <v>1</v>
      </c>
      <c r="AC100" s="679">
        <v>1</v>
      </c>
      <c r="AD100" s="679">
        <v>1</v>
      </c>
      <c r="AE100" s="679">
        <v>1</v>
      </c>
      <c r="AF100" s="679">
        <v>47</v>
      </c>
      <c r="AG100" s="498">
        <v>78</v>
      </c>
      <c r="AH100" s="1287">
        <v>45</v>
      </c>
      <c r="AI100" s="1287">
        <v>1</v>
      </c>
      <c r="AJ100" s="1287">
        <v>3</v>
      </c>
      <c r="AK100" s="1287">
        <v>6</v>
      </c>
      <c r="AL100" s="1287">
        <v>2</v>
      </c>
      <c r="AM100" s="1287">
        <v>3</v>
      </c>
      <c r="AN100" s="1287">
        <v>4</v>
      </c>
      <c r="AO100" s="1287">
        <v>1</v>
      </c>
      <c r="AP100" s="1287">
        <v>0</v>
      </c>
      <c r="AQ100" s="1287">
        <v>3</v>
      </c>
      <c r="AR100" s="1287">
        <v>0</v>
      </c>
      <c r="AS100" s="1287">
        <v>1</v>
      </c>
      <c r="AT100" s="1287">
        <v>4</v>
      </c>
      <c r="AU100" s="1287">
        <v>2</v>
      </c>
      <c r="AV100" s="1287">
        <v>75</v>
      </c>
    </row>
    <row r="101" spans="1:48">
      <c r="A101" s="498">
        <v>79</v>
      </c>
      <c r="B101" s="1286">
        <v>61</v>
      </c>
      <c r="C101" s="1286">
        <v>5</v>
      </c>
      <c r="D101" s="1286">
        <v>4</v>
      </c>
      <c r="E101" s="1286">
        <v>7</v>
      </c>
      <c r="F101" s="1286">
        <v>0</v>
      </c>
      <c r="G101" s="1286">
        <v>1</v>
      </c>
      <c r="H101" s="1286">
        <v>7</v>
      </c>
      <c r="I101" s="1286">
        <v>6</v>
      </c>
      <c r="J101" s="1286">
        <v>2</v>
      </c>
      <c r="K101" s="1286">
        <v>2</v>
      </c>
      <c r="L101" s="1286">
        <v>4</v>
      </c>
      <c r="M101" s="1286">
        <v>1</v>
      </c>
      <c r="N101" s="1286">
        <v>5</v>
      </c>
      <c r="O101" s="1286">
        <v>1</v>
      </c>
      <c r="P101" s="1286">
        <v>106</v>
      </c>
      <c r="Q101" s="498">
        <v>79</v>
      </c>
      <c r="R101" s="679">
        <v>18</v>
      </c>
      <c r="S101" s="679">
        <v>1</v>
      </c>
      <c r="T101" s="679">
        <v>2</v>
      </c>
      <c r="U101" s="679">
        <v>2</v>
      </c>
      <c r="V101" s="679">
        <v>0</v>
      </c>
      <c r="W101" s="679">
        <v>0</v>
      </c>
      <c r="X101" s="679">
        <v>2</v>
      </c>
      <c r="Y101" s="679">
        <v>2</v>
      </c>
      <c r="Z101" s="679">
        <v>2</v>
      </c>
      <c r="AA101" s="679">
        <v>0</v>
      </c>
      <c r="AB101" s="679">
        <v>2</v>
      </c>
      <c r="AC101" s="679">
        <v>0</v>
      </c>
      <c r="AD101" s="679">
        <v>1</v>
      </c>
      <c r="AE101" s="679">
        <v>1</v>
      </c>
      <c r="AF101" s="679">
        <v>33</v>
      </c>
      <c r="AG101" s="498">
        <v>79</v>
      </c>
      <c r="AH101" s="1287">
        <v>43</v>
      </c>
      <c r="AI101" s="1287">
        <v>4</v>
      </c>
      <c r="AJ101" s="1287">
        <v>2</v>
      </c>
      <c r="AK101" s="1287">
        <v>5</v>
      </c>
      <c r="AL101" s="1287">
        <v>0</v>
      </c>
      <c r="AM101" s="1287">
        <v>1</v>
      </c>
      <c r="AN101" s="1287">
        <v>5</v>
      </c>
      <c r="AO101" s="1287">
        <v>4</v>
      </c>
      <c r="AP101" s="1287">
        <v>0</v>
      </c>
      <c r="AQ101" s="1287">
        <v>2</v>
      </c>
      <c r="AR101" s="1287">
        <v>2</v>
      </c>
      <c r="AS101" s="1287">
        <v>1</v>
      </c>
      <c r="AT101" s="1287">
        <v>4</v>
      </c>
      <c r="AU101" s="1287">
        <v>0</v>
      </c>
      <c r="AV101" s="1287">
        <v>73</v>
      </c>
    </row>
    <row r="102" spans="1:48">
      <c r="A102" s="498" t="s">
        <v>2335</v>
      </c>
      <c r="B102" s="1286">
        <v>325</v>
      </c>
      <c r="C102" s="1286">
        <v>19</v>
      </c>
      <c r="D102" s="1286">
        <v>21</v>
      </c>
      <c r="E102" s="1286">
        <v>38</v>
      </c>
      <c r="F102" s="1286">
        <v>10</v>
      </c>
      <c r="G102" s="1286">
        <v>9</v>
      </c>
      <c r="H102" s="1286">
        <v>27</v>
      </c>
      <c r="I102" s="1286">
        <v>13</v>
      </c>
      <c r="J102" s="1286">
        <v>10</v>
      </c>
      <c r="K102" s="1286">
        <v>11</v>
      </c>
      <c r="L102" s="1286">
        <v>13</v>
      </c>
      <c r="M102" s="1286">
        <v>11</v>
      </c>
      <c r="N102" s="1286">
        <v>21</v>
      </c>
      <c r="O102" s="1286">
        <v>11</v>
      </c>
      <c r="P102" s="1286">
        <v>539</v>
      </c>
      <c r="Q102" s="498" t="s">
        <v>2335</v>
      </c>
      <c r="R102" s="679">
        <v>110</v>
      </c>
      <c r="S102" s="679">
        <v>9</v>
      </c>
      <c r="T102" s="679">
        <v>8</v>
      </c>
      <c r="U102" s="679">
        <v>13</v>
      </c>
      <c r="V102" s="679">
        <v>5</v>
      </c>
      <c r="W102" s="679">
        <v>2</v>
      </c>
      <c r="X102" s="679">
        <v>8</v>
      </c>
      <c r="Y102" s="679">
        <v>4</v>
      </c>
      <c r="Z102" s="679">
        <v>6</v>
      </c>
      <c r="AA102" s="679">
        <v>4</v>
      </c>
      <c r="AB102" s="679">
        <v>6</v>
      </c>
      <c r="AC102" s="679">
        <v>5</v>
      </c>
      <c r="AD102" s="679">
        <v>6</v>
      </c>
      <c r="AE102" s="679">
        <v>4</v>
      </c>
      <c r="AF102" s="679">
        <v>190</v>
      </c>
      <c r="AG102" s="498" t="s">
        <v>2335</v>
      </c>
      <c r="AH102" s="1287">
        <v>215</v>
      </c>
      <c r="AI102" s="1287">
        <v>10</v>
      </c>
      <c r="AJ102" s="1287">
        <v>13</v>
      </c>
      <c r="AK102" s="1287">
        <v>25</v>
      </c>
      <c r="AL102" s="1287">
        <v>5</v>
      </c>
      <c r="AM102" s="1287">
        <v>7</v>
      </c>
      <c r="AN102" s="1287">
        <v>19</v>
      </c>
      <c r="AO102" s="1287">
        <v>9</v>
      </c>
      <c r="AP102" s="1287">
        <v>4</v>
      </c>
      <c r="AQ102" s="1287">
        <v>7</v>
      </c>
      <c r="AR102" s="1287">
        <v>7</v>
      </c>
      <c r="AS102" s="1287">
        <v>6</v>
      </c>
      <c r="AT102" s="1287">
        <v>15</v>
      </c>
      <c r="AU102" s="1287">
        <v>7</v>
      </c>
      <c r="AV102" s="1287">
        <v>349</v>
      </c>
    </row>
    <row r="103" spans="1:48">
      <c r="A103" s="498">
        <v>80</v>
      </c>
      <c r="B103" s="1286">
        <v>51</v>
      </c>
      <c r="C103" s="1286">
        <v>3</v>
      </c>
      <c r="D103" s="1286">
        <v>1</v>
      </c>
      <c r="E103" s="1286">
        <v>5</v>
      </c>
      <c r="F103" s="1286">
        <v>2</v>
      </c>
      <c r="G103" s="1286">
        <v>1</v>
      </c>
      <c r="H103" s="1286">
        <v>2</v>
      </c>
      <c r="I103" s="1286">
        <v>1</v>
      </c>
      <c r="J103" s="1286">
        <v>4</v>
      </c>
      <c r="K103" s="1286">
        <v>3</v>
      </c>
      <c r="L103" s="1286">
        <v>2</v>
      </c>
      <c r="M103" s="1286">
        <v>7</v>
      </c>
      <c r="N103" s="1286">
        <v>5</v>
      </c>
      <c r="O103" s="1286">
        <v>1</v>
      </c>
      <c r="P103" s="1286">
        <v>88</v>
      </c>
      <c r="Q103" s="498">
        <v>80</v>
      </c>
      <c r="R103" s="679">
        <v>8</v>
      </c>
      <c r="S103" s="679">
        <v>1</v>
      </c>
      <c r="T103" s="679">
        <v>0</v>
      </c>
      <c r="U103" s="679">
        <v>1</v>
      </c>
      <c r="V103" s="679">
        <v>0</v>
      </c>
      <c r="W103" s="679">
        <v>1</v>
      </c>
      <c r="X103" s="679">
        <v>0</v>
      </c>
      <c r="Y103" s="679">
        <v>0</v>
      </c>
      <c r="Z103" s="679">
        <v>1</v>
      </c>
      <c r="AA103" s="679">
        <v>1</v>
      </c>
      <c r="AB103" s="679">
        <v>0</v>
      </c>
      <c r="AC103" s="679">
        <v>2</v>
      </c>
      <c r="AD103" s="679">
        <v>0</v>
      </c>
      <c r="AE103" s="679">
        <v>0</v>
      </c>
      <c r="AF103" s="679">
        <v>15</v>
      </c>
      <c r="AG103" s="498">
        <v>80</v>
      </c>
      <c r="AH103" s="1287">
        <v>43</v>
      </c>
      <c r="AI103" s="1287">
        <v>2</v>
      </c>
      <c r="AJ103" s="1287">
        <v>1</v>
      </c>
      <c r="AK103" s="1287">
        <v>4</v>
      </c>
      <c r="AL103" s="1287">
        <v>2</v>
      </c>
      <c r="AM103" s="1287">
        <v>0</v>
      </c>
      <c r="AN103" s="1287">
        <v>2</v>
      </c>
      <c r="AO103" s="1287">
        <v>1</v>
      </c>
      <c r="AP103" s="1287">
        <v>3</v>
      </c>
      <c r="AQ103" s="1287">
        <v>2</v>
      </c>
      <c r="AR103" s="1287">
        <v>2</v>
      </c>
      <c r="AS103" s="1287">
        <v>5</v>
      </c>
      <c r="AT103" s="1287">
        <v>5</v>
      </c>
      <c r="AU103" s="1287">
        <v>1</v>
      </c>
      <c r="AV103" s="1287">
        <v>73</v>
      </c>
    </row>
    <row r="104" spans="1:48">
      <c r="A104" s="498">
        <v>81</v>
      </c>
      <c r="B104" s="1286">
        <v>36</v>
      </c>
      <c r="C104" s="1286">
        <v>3</v>
      </c>
      <c r="D104" s="1286">
        <v>4</v>
      </c>
      <c r="E104" s="1286">
        <v>3</v>
      </c>
      <c r="F104" s="1286">
        <v>1</v>
      </c>
      <c r="G104" s="1286">
        <v>1</v>
      </c>
      <c r="H104" s="1286">
        <v>3</v>
      </c>
      <c r="I104" s="1286">
        <v>2</v>
      </c>
      <c r="J104" s="1286">
        <v>2</v>
      </c>
      <c r="K104" s="1286">
        <v>1</v>
      </c>
      <c r="L104" s="1286">
        <v>1</v>
      </c>
      <c r="M104" s="1286">
        <v>5</v>
      </c>
      <c r="N104" s="1286">
        <v>3</v>
      </c>
      <c r="O104" s="1286">
        <v>0</v>
      </c>
      <c r="P104" s="1286">
        <v>65</v>
      </c>
      <c r="Q104" s="498">
        <v>81</v>
      </c>
      <c r="R104" s="679">
        <v>13</v>
      </c>
      <c r="S104" s="679">
        <v>0</v>
      </c>
      <c r="T104" s="679">
        <v>0</v>
      </c>
      <c r="U104" s="679">
        <v>0</v>
      </c>
      <c r="V104" s="679">
        <v>0</v>
      </c>
      <c r="W104" s="679">
        <v>0</v>
      </c>
      <c r="X104" s="679">
        <v>0</v>
      </c>
      <c r="Y104" s="679">
        <v>0</v>
      </c>
      <c r="Z104" s="679">
        <v>0</v>
      </c>
      <c r="AA104" s="679">
        <v>0</v>
      </c>
      <c r="AB104" s="679">
        <v>0</v>
      </c>
      <c r="AC104" s="679">
        <v>1</v>
      </c>
      <c r="AD104" s="679">
        <v>1</v>
      </c>
      <c r="AE104" s="679">
        <v>0</v>
      </c>
      <c r="AF104" s="679">
        <v>15</v>
      </c>
      <c r="AG104" s="498">
        <v>81</v>
      </c>
      <c r="AH104" s="1287">
        <v>23</v>
      </c>
      <c r="AI104" s="1287">
        <v>3</v>
      </c>
      <c r="AJ104" s="1287">
        <v>4</v>
      </c>
      <c r="AK104" s="1287">
        <v>3</v>
      </c>
      <c r="AL104" s="1287">
        <v>1</v>
      </c>
      <c r="AM104" s="1287">
        <v>1</v>
      </c>
      <c r="AN104" s="1287">
        <v>3</v>
      </c>
      <c r="AO104" s="1287">
        <v>2</v>
      </c>
      <c r="AP104" s="1287">
        <v>2</v>
      </c>
      <c r="AQ104" s="1287">
        <v>1</v>
      </c>
      <c r="AR104" s="1287">
        <v>1</v>
      </c>
      <c r="AS104" s="1287">
        <v>4</v>
      </c>
      <c r="AT104" s="1287">
        <v>2</v>
      </c>
      <c r="AU104" s="1287">
        <v>0</v>
      </c>
      <c r="AV104" s="1287">
        <v>50</v>
      </c>
    </row>
    <row r="105" spans="1:48">
      <c r="A105" s="498">
        <v>82</v>
      </c>
      <c r="B105" s="1286">
        <v>42</v>
      </c>
      <c r="C105" s="1286">
        <v>6</v>
      </c>
      <c r="D105" s="1286">
        <v>2</v>
      </c>
      <c r="E105" s="1286">
        <v>2</v>
      </c>
      <c r="F105" s="1286">
        <v>1</v>
      </c>
      <c r="G105" s="1286">
        <v>1</v>
      </c>
      <c r="H105" s="1286">
        <v>2</v>
      </c>
      <c r="I105" s="1286">
        <v>2</v>
      </c>
      <c r="J105" s="1286">
        <v>3</v>
      </c>
      <c r="K105" s="1286">
        <v>0</v>
      </c>
      <c r="L105" s="1286">
        <v>0</v>
      </c>
      <c r="M105" s="1286">
        <v>0</v>
      </c>
      <c r="N105" s="1286">
        <v>1</v>
      </c>
      <c r="O105" s="1286">
        <v>0</v>
      </c>
      <c r="P105" s="1286">
        <v>62</v>
      </c>
      <c r="Q105" s="498">
        <v>82</v>
      </c>
      <c r="R105" s="679">
        <v>11</v>
      </c>
      <c r="S105" s="679">
        <v>0</v>
      </c>
      <c r="T105" s="679">
        <v>1</v>
      </c>
      <c r="U105" s="679">
        <v>0</v>
      </c>
      <c r="V105" s="679">
        <v>0</v>
      </c>
      <c r="W105" s="679">
        <v>0</v>
      </c>
      <c r="X105" s="679">
        <v>1</v>
      </c>
      <c r="Y105" s="679">
        <v>1</v>
      </c>
      <c r="Z105" s="679">
        <v>1</v>
      </c>
      <c r="AA105" s="679">
        <v>0</v>
      </c>
      <c r="AB105" s="679">
        <v>0</v>
      </c>
      <c r="AC105" s="679">
        <v>0</v>
      </c>
      <c r="AD105" s="679">
        <v>0</v>
      </c>
      <c r="AE105" s="679">
        <v>0</v>
      </c>
      <c r="AF105" s="679">
        <v>15</v>
      </c>
      <c r="AG105" s="498">
        <v>82</v>
      </c>
      <c r="AH105" s="1287">
        <v>31</v>
      </c>
      <c r="AI105" s="1287">
        <v>6</v>
      </c>
      <c r="AJ105" s="1287">
        <v>1</v>
      </c>
      <c r="AK105" s="1287">
        <v>2</v>
      </c>
      <c r="AL105" s="1287">
        <v>1</v>
      </c>
      <c r="AM105" s="1287">
        <v>1</v>
      </c>
      <c r="AN105" s="1287">
        <v>1</v>
      </c>
      <c r="AO105" s="1287">
        <v>1</v>
      </c>
      <c r="AP105" s="1287">
        <v>2</v>
      </c>
      <c r="AQ105" s="1287">
        <v>0</v>
      </c>
      <c r="AR105" s="1287">
        <v>0</v>
      </c>
      <c r="AS105" s="1287">
        <v>0</v>
      </c>
      <c r="AT105" s="1287">
        <v>1</v>
      </c>
      <c r="AU105" s="1287">
        <v>0</v>
      </c>
      <c r="AV105" s="1287">
        <v>47</v>
      </c>
    </row>
    <row r="106" spans="1:48">
      <c r="A106" s="498">
        <v>83</v>
      </c>
      <c r="B106" s="1286">
        <v>22</v>
      </c>
      <c r="C106" s="1286">
        <v>1</v>
      </c>
      <c r="D106" s="1286">
        <v>1</v>
      </c>
      <c r="E106" s="1286">
        <v>3</v>
      </c>
      <c r="F106" s="1286">
        <v>1</v>
      </c>
      <c r="G106" s="1286">
        <v>2</v>
      </c>
      <c r="H106" s="1286">
        <v>1</v>
      </c>
      <c r="I106" s="1286">
        <v>4</v>
      </c>
      <c r="J106" s="1286">
        <v>2</v>
      </c>
      <c r="K106" s="1286">
        <v>3</v>
      </c>
      <c r="L106" s="1286">
        <v>0</v>
      </c>
      <c r="M106" s="1286">
        <v>0</v>
      </c>
      <c r="N106" s="1286">
        <v>0</v>
      </c>
      <c r="O106" s="1286">
        <v>0</v>
      </c>
      <c r="P106" s="1286">
        <v>40</v>
      </c>
      <c r="Q106" s="498">
        <v>83</v>
      </c>
      <c r="R106" s="679">
        <v>5</v>
      </c>
      <c r="S106" s="679">
        <v>0</v>
      </c>
      <c r="T106" s="679">
        <v>0</v>
      </c>
      <c r="U106" s="679">
        <v>1</v>
      </c>
      <c r="V106" s="679">
        <v>0</v>
      </c>
      <c r="W106" s="679">
        <v>2</v>
      </c>
      <c r="X106" s="679">
        <v>0</v>
      </c>
      <c r="Y106" s="679">
        <v>0</v>
      </c>
      <c r="Z106" s="679">
        <v>1</v>
      </c>
      <c r="AA106" s="679">
        <v>0</v>
      </c>
      <c r="AB106" s="679">
        <v>0</v>
      </c>
      <c r="AC106" s="679">
        <v>0</v>
      </c>
      <c r="AD106" s="679">
        <v>0</v>
      </c>
      <c r="AE106" s="679">
        <v>0</v>
      </c>
      <c r="AF106" s="679">
        <v>9</v>
      </c>
      <c r="AG106" s="498">
        <v>83</v>
      </c>
      <c r="AH106" s="1287">
        <v>17</v>
      </c>
      <c r="AI106" s="1287">
        <v>1</v>
      </c>
      <c r="AJ106" s="1287">
        <v>1</v>
      </c>
      <c r="AK106" s="1287">
        <v>2</v>
      </c>
      <c r="AL106" s="1287">
        <v>1</v>
      </c>
      <c r="AM106" s="1287">
        <v>0</v>
      </c>
      <c r="AN106" s="1287">
        <v>1</v>
      </c>
      <c r="AO106" s="1287">
        <v>4</v>
      </c>
      <c r="AP106" s="1287">
        <v>1</v>
      </c>
      <c r="AQ106" s="1287">
        <v>3</v>
      </c>
      <c r="AR106" s="1287">
        <v>0</v>
      </c>
      <c r="AS106" s="1287">
        <v>0</v>
      </c>
      <c r="AT106" s="1287">
        <v>0</v>
      </c>
      <c r="AU106" s="1287">
        <v>0</v>
      </c>
      <c r="AV106" s="1287">
        <v>31</v>
      </c>
    </row>
    <row r="107" spans="1:48">
      <c r="A107" s="498">
        <v>84</v>
      </c>
      <c r="B107" s="1286">
        <v>27</v>
      </c>
      <c r="C107" s="1286">
        <v>0</v>
      </c>
      <c r="D107" s="1286">
        <v>2</v>
      </c>
      <c r="E107" s="1286">
        <v>3</v>
      </c>
      <c r="F107" s="1286">
        <v>1</v>
      </c>
      <c r="G107" s="1286">
        <v>1</v>
      </c>
      <c r="H107" s="1286">
        <v>0</v>
      </c>
      <c r="I107" s="1286">
        <v>0</v>
      </c>
      <c r="J107" s="1286">
        <v>2</v>
      </c>
      <c r="K107" s="1286">
        <v>1</v>
      </c>
      <c r="L107" s="1286">
        <v>1</v>
      </c>
      <c r="M107" s="1286">
        <v>1</v>
      </c>
      <c r="N107" s="1286">
        <v>1</v>
      </c>
      <c r="O107" s="1286">
        <v>0</v>
      </c>
      <c r="P107" s="1286">
        <v>40</v>
      </c>
      <c r="Q107" s="498">
        <v>84</v>
      </c>
      <c r="R107" s="679">
        <v>6</v>
      </c>
      <c r="S107" s="679">
        <v>0</v>
      </c>
      <c r="T107" s="679">
        <v>0</v>
      </c>
      <c r="U107" s="679">
        <v>0</v>
      </c>
      <c r="V107" s="679">
        <v>0</v>
      </c>
      <c r="W107" s="679">
        <v>0</v>
      </c>
      <c r="X107" s="679">
        <v>0</v>
      </c>
      <c r="Y107" s="679">
        <v>0</v>
      </c>
      <c r="Z107" s="679">
        <v>0</v>
      </c>
      <c r="AA107" s="679">
        <v>0</v>
      </c>
      <c r="AB107" s="679">
        <v>1</v>
      </c>
      <c r="AC107" s="679">
        <v>1</v>
      </c>
      <c r="AD107" s="679">
        <v>0</v>
      </c>
      <c r="AE107" s="679">
        <v>0</v>
      </c>
      <c r="AF107" s="679">
        <v>8</v>
      </c>
      <c r="AG107" s="498">
        <v>84</v>
      </c>
      <c r="AH107" s="1287">
        <v>21</v>
      </c>
      <c r="AI107" s="1287">
        <v>0</v>
      </c>
      <c r="AJ107" s="1287">
        <v>2</v>
      </c>
      <c r="AK107" s="1287">
        <v>3</v>
      </c>
      <c r="AL107" s="1287">
        <v>1</v>
      </c>
      <c r="AM107" s="1287">
        <v>1</v>
      </c>
      <c r="AN107" s="1287">
        <v>0</v>
      </c>
      <c r="AO107" s="1287">
        <v>0</v>
      </c>
      <c r="AP107" s="1287">
        <v>2</v>
      </c>
      <c r="AQ107" s="1287">
        <v>1</v>
      </c>
      <c r="AR107" s="1287">
        <v>0</v>
      </c>
      <c r="AS107" s="1287">
        <v>0</v>
      </c>
      <c r="AT107" s="1287">
        <v>1</v>
      </c>
      <c r="AU107" s="1287">
        <v>0</v>
      </c>
      <c r="AV107" s="1287">
        <v>32</v>
      </c>
    </row>
    <row r="108" spans="1:48">
      <c r="A108" s="1411">
        <v>13</v>
      </c>
      <c r="B108" s="1411"/>
      <c r="C108" s="1411"/>
      <c r="D108" s="1411"/>
      <c r="E108" s="1411"/>
      <c r="F108" s="1411"/>
      <c r="G108" s="1411"/>
      <c r="H108" s="1411"/>
      <c r="I108" s="1411"/>
      <c r="J108" s="1411"/>
      <c r="K108" s="1411"/>
      <c r="L108" s="1411"/>
      <c r="M108" s="1411"/>
      <c r="N108" s="1411"/>
      <c r="O108" s="1411"/>
      <c r="P108" s="1411"/>
      <c r="Q108" s="1411">
        <v>16</v>
      </c>
      <c r="R108" s="1411"/>
      <c r="S108" s="1411"/>
      <c r="T108" s="1411"/>
      <c r="U108" s="1411"/>
      <c r="V108" s="1411"/>
      <c r="W108" s="1411"/>
      <c r="X108" s="1411"/>
      <c r="Y108" s="1411"/>
      <c r="Z108" s="1411"/>
      <c r="AA108" s="1411"/>
      <c r="AB108" s="1411"/>
      <c r="AC108" s="1411"/>
      <c r="AD108" s="1411"/>
      <c r="AE108" s="1411"/>
      <c r="AF108" s="1411"/>
      <c r="AG108" s="1411">
        <v>19</v>
      </c>
      <c r="AH108" s="1411"/>
      <c r="AI108" s="1411"/>
      <c r="AJ108" s="1411"/>
      <c r="AK108" s="1411"/>
      <c r="AL108" s="1411"/>
      <c r="AM108" s="1411"/>
      <c r="AN108" s="1411"/>
      <c r="AO108" s="1411"/>
      <c r="AP108" s="1411"/>
      <c r="AQ108" s="1411"/>
      <c r="AR108" s="1411"/>
      <c r="AS108" s="1411"/>
      <c r="AT108" s="1411"/>
      <c r="AU108" s="1411"/>
      <c r="AV108" s="1411"/>
    </row>
    <row r="109" spans="1:48">
      <c r="A109" s="498" t="s">
        <v>2336</v>
      </c>
      <c r="B109" s="1286">
        <v>178</v>
      </c>
      <c r="C109" s="1286">
        <v>13</v>
      </c>
      <c r="D109" s="1286">
        <v>10</v>
      </c>
      <c r="E109" s="1286">
        <v>16</v>
      </c>
      <c r="F109" s="1286">
        <v>6</v>
      </c>
      <c r="G109" s="1286">
        <v>6</v>
      </c>
      <c r="H109" s="1286">
        <v>8</v>
      </c>
      <c r="I109" s="1286">
        <v>9</v>
      </c>
      <c r="J109" s="1286">
        <v>13</v>
      </c>
      <c r="K109" s="1286">
        <v>8</v>
      </c>
      <c r="L109" s="1286">
        <v>4</v>
      </c>
      <c r="M109" s="1286">
        <v>13</v>
      </c>
      <c r="N109" s="1286">
        <v>10</v>
      </c>
      <c r="O109" s="1286">
        <v>1</v>
      </c>
      <c r="P109" s="1286">
        <v>295</v>
      </c>
      <c r="Q109" s="498" t="s">
        <v>2336</v>
      </c>
      <c r="R109" s="679">
        <v>43</v>
      </c>
      <c r="S109" s="679">
        <v>1</v>
      </c>
      <c r="T109" s="679">
        <v>1</v>
      </c>
      <c r="U109" s="679">
        <v>2</v>
      </c>
      <c r="V109" s="679">
        <v>0</v>
      </c>
      <c r="W109" s="679">
        <v>3</v>
      </c>
      <c r="X109" s="679">
        <v>1</v>
      </c>
      <c r="Y109" s="679">
        <v>1</v>
      </c>
      <c r="Z109" s="679">
        <v>3</v>
      </c>
      <c r="AA109" s="679">
        <v>1</v>
      </c>
      <c r="AB109" s="679">
        <v>1</v>
      </c>
      <c r="AC109" s="679">
        <v>4</v>
      </c>
      <c r="AD109" s="679">
        <v>1</v>
      </c>
      <c r="AE109" s="679">
        <v>0</v>
      </c>
      <c r="AF109" s="679">
        <v>62</v>
      </c>
      <c r="AG109" s="498" t="s">
        <v>2336</v>
      </c>
      <c r="AH109" s="1287">
        <v>135</v>
      </c>
      <c r="AI109" s="1287">
        <v>12</v>
      </c>
      <c r="AJ109" s="1287">
        <v>9</v>
      </c>
      <c r="AK109" s="1287">
        <v>14</v>
      </c>
      <c r="AL109" s="1287">
        <v>6</v>
      </c>
      <c r="AM109" s="1287">
        <v>3</v>
      </c>
      <c r="AN109" s="1287">
        <v>7</v>
      </c>
      <c r="AO109" s="1287">
        <v>8</v>
      </c>
      <c r="AP109" s="1287">
        <v>10</v>
      </c>
      <c r="AQ109" s="1287">
        <v>7</v>
      </c>
      <c r="AR109" s="1287">
        <v>3</v>
      </c>
      <c r="AS109" s="1287">
        <v>9</v>
      </c>
      <c r="AT109" s="1287">
        <v>9</v>
      </c>
      <c r="AU109" s="1287">
        <v>1</v>
      </c>
      <c r="AV109" s="1287">
        <v>233</v>
      </c>
    </row>
    <row r="110" spans="1:48">
      <c r="A110" s="498">
        <v>85</v>
      </c>
      <c r="B110" s="1286">
        <v>21</v>
      </c>
      <c r="C110" s="1286">
        <v>0</v>
      </c>
      <c r="D110" s="1286">
        <v>1</v>
      </c>
      <c r="E110" s="1286">
        <v>2</v>
      </c>
      <c r="F110" s="1286">
        <v>0</v>
      </c>
      <c r="G110" s="1286">
        <v>1</v>
      </c>
      <c r="H110" s="1286">
        <v>4</v>
      </c>
      <c r="I110" s="1286">
        <v>1</v>
      </c>
      <c r="J110" s="1286">
        <v>0</v>
      </c>
      <c r="K110" s="1286">
        <v>0</v>
      </c>
      <c r="L110" s="1286">
        <v>0</v>
      </c>
      <c r="M110" s="1286">
        <v>0</v>
      </c>
      <c r="N110" s="1286">
        <v>0</v>
      </c>
      <c r="O110" s="1286">
        <v>0</v>
      </c>
      <c r="P110" s="1286">
        <v>30</v>
      </c>
      <c r="Q110" s="498">
        <v>85</v>
      </c>
      <c r="R110" s="679">
        <v>2</v>
      </c>
      <c r="S110" s="679">
        <v>0</v>
      </c>
      <c r="T110" s="679">
        <v>0</v>
      </c>
      <c r="U110" s="679">
        <v>1</v>
      </c>
      <c r="V110" s="679">
        <v>0</v>
      </c>
      <c r="W110" s="679">
        <v>1</v>
      </c>
      <c r="X110" s="679">
        <v>2</v>
      </c>
      <c r="Y110" s="679">
        <v>0</v>
      </c>
      <c r="Z110" s="679">
        <v>0</v>
      </c>
      <c r="AA110" s="679">
        <v>0</v>
      </c>
      <c r="AB110" s="679">
        <v>0</v>
      </c>
      <c r="AC110" s="679">
        <v>0</v>
      </c>
      <c r="AD110" s="679">
        <v>0</v>
      </c>
      <c r="AE110" s="679">
        <v>0</v>
      </c>
      <c r="AF110" s="679">
        <v>6</v>
      </c>
      <c r="AG110" s="498">
        <v>85</v>
      </c>
      <c r="AH110" s="1287">
        <v>19</v>
      </c>
      <c r="AI110" s="1287">
        <v>0</v>
      </c>
      <c r="AJ110" s="1287">
        <v>1</v>
      </c>
      <c r="AK110" s="1287">
        <v>1</v>
      </c>
      <c r="AL110" s="1287">
        <v>0</v>
      </c>
      <c r="AM110" s="1287">
        <v>0</v>
      </c>
      <c r="AN110" s="1287">
        <v>2</v>
      </c>
      <c r="AO110" s="1287">
        <v>1</v>
      </c>
      <c r="AP110" s="1287">
        <v>0</v>
      </c>
      <c r="AQ110" s="1287">
        <v>0</v>
      </c>
      <c r="AR110" s="1287">
        <v>0</v>
      </c>
      <c r="AS110" s="1287">
        <v>0</v>
      </c>
      <c r="AT110" s="1287">
        <v>0</v>
      </c>
      <c r="AU110" s="1287">
        <v>0</v>
      </c>
      <c r="AV110" s="1287">
        <v>24</v>
      </c>
    </row>
    <row r="111" spans="1:48">
      <c r="A111" s="498">
        <v>86</v>
      </c>
      <c r="B111" s="1286">
        <v>20</v>
      </c>
      <c r="C111" s="1286">
        <v>2</v>
      </c>
      <c r="D111" s="1286">
        <v>3</v>
      </c>
      <c r="E111" s="1286">
        <v>0</v>
      </c>
      <c r="F111" s="1286">
        <v>1</v>
      </c>
      <c r="G111" s="1286">
        <v>0</v>
      </c>
      <c r="H111" s="1286">
        <v>0</v>
      </c>
      <c r="I111" s="1286">
        <v>1</v>
      </c>
      <c r="J111" s="1286">
        <v>1</v>
      </c>
      <c r="K111" s="1286">
        <v>0</v>
      </c>
      <c r="L111" s="1286">
        <v>0</v>
      </c>
      <c r="M111" s="1286">
        <v>1</v>
      </c>
      <c r="N111" s="1286">
        <v>1</v>
      </c>
      <c r="O111" s="1286">
        <v>2</v>
      </c>
      <c r="P111" s="1286">
        <v>32</v>
      </c>
      <c r="Q111" s="498">
        <v>86</v>
      </c>
      <c r="R111" s="679">
        <v>1</v>
      </c>
      <c r="S111" s="679">
        <v>0</v>
      </c>
      <c r="T111" s="679">
        <v>1</v>
      </c>
      <c r="U111" s="679">
        <v>0</v>
      </c>
      <c r="V111" s="679">
        <v>0</v>
      </c>
      <c r="W111" s="679">
        <v>0</v>
      </c>
      <c r="X111" s="679">
        <v>0</v>
      </c>
      <c r="Y111" s="679">
        <v>0</v>
      </c>
      <c r="Z111" s="679">
        <v>1</v>
      </c>
      <c r="AA111" s="679">
        <v>0</v>
      </c>
      <c r="AB111" s="679">
        <v>0</v>
      </c>
      <c r="AC111" s="679">
        <v>0</v>
      </c>
      <c r="AD111" s="679">
        <v>0</v>
      </c>
      <c r="AE111" s="679">
        <v>0</v>
      </c>
      <c r="AF111" s="679">
        <v>3</v>
      </c>
      <c r="AG111" s="498">
        <v>86</v>
      </c>
      <c r="AH111" s="1287">
        <v>19</v>
      </c>
      <c r="AI111" s="1287">
        <v>2</v>
      </c>
      <c r="AJ111" s="1287">
        <v>2</v>
      </c>
      <c r="AK111" s="1287">
        <v>0</v>
      </c>
      <c r="AL111" s="1287">
        <v>1</v>
      </c>
      <c r="AM111" s="1287">
        <v>0</v>
      </c>
      <c r="AN111" s="1287">
        <v>0</v>
      </c>
      <c r="AO111" s="1287">
        <v>1</v>
      </c>
      <c r="AP111" s="1287">
        <v>0</v>
      </c>
      <c r="AQ111" s="1287">
        <v>0</v>
      </c>
      <c r="AR111" s="1287">
        <v>0</v>
      </c>
      <c r="AS111" s="1287">
        <v>1</v>
      </c>
      <c r="AT111" s="1287">
        <v>1</v>
      </c>
      <c r="AU111" s="1287">
        <v>2</v>
      </c>
      <c r="AV111" s="1287">
        <v>29</v>
      </c>
    </row>
    <row r="112" spans="1:48">
      <c r="A112" s="498">
        <v>87</v>
      </c>
      <c r="B112" s="1286">
        <v>32</v>
      </c>
      <c r="C112" s="1286">
        <v>1</v>
      </c>
      <c r="D112" s="1286">
        <v>0</v>
      </c>
      <c r="E112" s="1286">
        <v>2</v>
      </c>
      <c r="F112" s="1286">
        <v>0</v>
      </c>
      <c r="G112" s="1286">
        <v>0</v>
      </c>
      <c r="H112" s="1286">
        <v>2</v>
      </c>
      <c r="I112" s="1286">
        <v>0</v>
      </c>
      <c r="J112" s="1286">
        <v>0</v>
      </c>
      <c r="K112" s="1286">
        <v>0</v>
      </c>
      <c r="L112" s="1286">
        <v>1</v>
      </c>
      <c r="M112" s="1286">
        <v>3</v>
      </c>
      <c r="N112" s="1286">
        <v>3</v>
      </c>
      <c r="O112" s="1286">
        <v>0</v>
      </c>
      <c r="P112" s="1286">
        <v>44</v>
      </c>
      <c r="Q112" s="498">
        <v>87</v>
      </c>
      <c r="R112" s="679">
        <v>10</v>
      </c>
      <c r="S112" s="679">
        <v>0</v>
      </c>
      <c r="T112" s="679">
        <v>0</v>
      </c>
      <c r="U112" s="679">
        <v>0</v>
      </c>
      <c r="V112" s="679">
        <v>0</v>
      </c>
      <c r="W112" s="679">
        <v>0</v>
      </c>
      <c r="X112" s="679">
        <v>1</v>
      </c>
      <c r="Y112" s="679">
        <v>0</v>
      </c>
      <c r="Z112" s="679">
        <v>0</v>
      </c>
      <c r="AA112" s="679">
        <v>0</v>
      </c>
      <c r="AB112" s="679">
        <v>0</v>
      </c>
      <c r="AC112" s="679">
        <v>1</v>
      </c>
      <c r="AD112" s="679">
        <v>0</v>
      </c>
      <c r="AE112" s="679">
        <v>0</v>
      </c>
      <c r="AF112" s="679">
        <v>12</v>
      </c>
      <c r="AG112" s="498">
        <v>87</v>
      </c>
      <c r="AH112" s="1287">
        <v>22</v>
      </c>
      <c r="AI112" s="1287">
        <v>1</v>
      </c>
      <c r="AJ112" s="1287">
        <v>0</v>
      </c>
      <c r="AK112" s="1287">
        <v>2</v>
      </c>
      <c r="AL112" s="1287">
        <v>0</v>
      </c>
      <c r="AM112" s="1287">
        <v>0</v>
      </c>
      <c r="AN112" s="1287">
        <v>1</v>
      </c>
      <c r="AO112" s="1287">
        <v>0</v>
      </c>
      <c r="AP112" s="1287">
        <v>0</v>
      </c>
      <c r="AQ112" s="1287">
        <v>0</v>
      </c>
      <c r="AR112" s="1287">
        <v>1</v>
      </c>
      <c r="AS112" s="1287">
        <v>2</v>
      </c>
      <c r="AT112" s="1287">
        <v>3</v>
      </c>
      <c r="AU112" s="1287">
        <v>0</v>
      </c>
      <c r="AV112" s="1287">
        <v>32</v>
      </c>
    </row>
    <row r="113" spans="1:48">
      <c r="A113" s="498">
        <v>88</v>
      </c>
      <c r="B113" s="1286">
        <v>15</v>
      </c>
      <c r="C113" s="1286">
        <v>1</v>
      </c>
      <c r="D113" s="1286">
        <v>1</v>
      </c>
      <c r="E113" s="1286">
        <v>2</v>
      </c>
      <c r="F113" s="1286">
        <v>2</v>
      </c>
      <c r="G113" s="1286">
        <v>0</v>
      </c>
      <c r="H113" s="1286">
        <v>2</v>
      </c>
      <c r="I113" s="1286">
        <v>1</v>
      </c>
      <c r="J113" s="1286">
        <v>0</v>
      </c>
      <c r="K113" s="1286">
        <v>1</v>
      </c>
      <c r="L113" s="1286">
        <v>3</v>
      </c>
      <c r="M113" s="1286">
        <v>1</v>
      </c>
      <c r="N113" s="1286">
        <v>0</v>
      </c>
      <c r="O113" s="1286">
        <v>0</v>
      </c>
      <c r="P113" s="1286">
        <v>29</v>
      </c>
      <c r="Q113" s="498">
        <v>88</v>
      </c>
      <c r="R113" s="679">
        <v>5</v>
      </c>
      <c r="S113" s="679">
        <v>0</v>
      </c>
      <c r="T113" s="679">
        <v>0</v>
      </c>
      <c r="U113" s="679">
        <v>1</v>
      </c>
      <c r="V113" s="679">
        <v>1</v>
      </c>
      <c r="W113" s="679">
        <v>0</v>
      </c>
      <c r="X113" s="679">
        <v>0</v>
      </c>
      <c r="Y113" s="679">
        <v>0</v>
      </c>
      <c r="Z113" s="679">
        <v>0</v>
      </c>
      <c r="AA113" s="679">
        <v>0</v>
      </c>
      <c r="AB113" s="679">
        <v>0</v>
      </c>
      <c r="AC113" s="679">
        <v>0</v>
      </c>
      <c r="AD113" s="679">
        <v>0</v>
      </c>
      <c r="AE113" s="679">
        <v>0</v>
      </c>
      <c r="AF113" s="679">
        <v>7</v>
      </c>
      <c r="AG113" s="498">
        <v>88</v>
      </c>
      <c r="AH113" s="1287">
        <v>10</v>
      </c>
      <c r="AI113" s="1287">
        <v>1</v>
      </c>
      <c r="AJ113" s="1287">
        <v>1</v>
      </c>
      <c r="AK113" s="1287">
        <v>1</v>
      </c>
      <c r="AL113" s="1287">
        <v>1</v>
      </c>
      <c r="AM113" s="1287">
        <v>0</v>
      </c>
      <c r="AN113" s="1287">
        <v>2</v>
      </c>
      <c r="AO113" s="1287">
        <v>1</v>
      </c>
      <c r="AP113" s="1287">
        <v>0</v>
      </c>
      <c r="AQ113" s="1287">
        <v>1</v>
      </c>
      <c r="AR113" s="1287">
        <v>3</v>
      </c>
      <c r="AS113" s="1287">
        <v>1</v>
      </c>
      <c r="AT113" s="1287">
        <v>0</v>
      </c>
      <c r="AU113" s="1287">
        <v>0</v>
      </c>
      <c r="AV113" s="1287">
        <v>22</v>
      </c>
    </row>
    <row r="114" spans="1:48">
      <c r="A114" s="498">
        <v>89</v>
      </c>
      <c r="B114" s="1286">
        <v>10</v>
      </c>
      <c r="C114" s="1286">
        <v>1</v>
      </c>
      <c r="D114" s="1286">
        <v>0</v>
      </c>
      <c r="E114" s="1286">
        <v>2</v>
      </c>
      <c r="F114" s="1286">
        <v>0</v>
      </c>
      <c r="G114" s="1286">
        <v>0</v>
      </c>
      <c r="H114" s="1286">
        <v>2</v>
      </c>
      <c r="I114" s="1286">
        <v>0</v>
      </c>
      <c r="J114" s="1286">
        <v>1</v>
      </c>
      <c r="K114" s="1286">
        <v>0</v>
      </c>
      <c r="L114" s="1286">
        <v>1</v>
      </c>
      <c r="M114" s="1286">
        <v>0</v>
      </c>
      <c r="N114" s="1286">
        <v>0</v>
      </c>
      <c r="O114" s="1286">
        <v>0</v>
      </c>
      <c r="P114" s="1286">
        <v>17</v>
      </c>
      <c r="Q114" s="498">
        <v>89</v>
      </c>
      <c r="R114" s="679">
        <v>2</v>
      </c>
      <c r="S114" s="679">
        <v>0</v>
      </c>
      <c r="T114" s="679">
        <v>0</v>
      </c>
      <c r="U114" s="679">
        <v>0</v>
      </c>
      <c r="V114" s="679">
        <v>0</v>
      </c>
      <c r="W114" s="679">
        <v>0</v>
      </c>
      <c r="X114" s="679">
        <v>0</v>
      </c>
      <c r="Y114" s="679">
        <v>0</v>
      </c>
      <c r="Z114" s="679">
        <v>0</v>
      </c>
      <c r="AA114" s="679">
        <v>0</v>
      </c>
      <c r="AB114" s="679">
        <v>1</v>
      </c>
      <c r="AC114" s="679">
        <v>0</v>
      </c>
      <c r="AD114" s="679">
        <v>0</v>
      </c>
      <c r="AE114" s="679">
        <v>0</v>
      </c>
      <c r="AF114" s="679">
        <v>3</v>
      </c>
      <c r="AG114" s="498">
        <v>89</v>
      </c>
      <c r="AH114" s="1287">
        <v>8</v>
      </c>
      <c r="AI114" s="1287">
        <v>1</v>
      </c>
      <c r="AJ114" s="1287">
        <v>0</v>
      </c>
      <c r="AK114" s="1287">
        <v>2</v>
      </c>
      <c r="AL114" s="1287">
        <v>0</v>
      </c>
      <c r="AM114" s="1287">
        <v>0</v>
      </c>
      <c r="AN114" s="1287">
        <v>2</v>
      </c>
      <c r="AO114" s="1287">
        <v>0</v>
      </c>
      <c r="AP114" s="1287">
        <v>1</v>
      </c>
      <c r="AQ114" s="1287">
        <v>0</v>
      </c>
      <c r="AR114" s="1287">
        <v>0</v>
      </c>
      <c r="AS114" s="1287">
        <v>0</v>
      </c>
      <c r="AT114" s="1287">
        <v>0</v>
      </c>
      <c r="AU114" s="1287">
        <v>0</v>
      </c>
      <c r="AV114" s="1287">
        <v>14</v>
      </c>
    </row>
    <row r="115" spans="1:48">
      <c r="A115" s="498" t="s">
        <v>2337</v>
      </c>
      <c r="B115" s="1286">
        <v>98</v>
      </c>
      <c r="C115" s="1286">
        <v>5</v>
      </c>
      <c r="D115" s="1286">
        <v>5</v>
      </c>
      <c r="E115" s="1286">
        <v>8</v>
      </c>
      <c r="F115" s="1286">
        <v>3</v>
      </c>
      <c r="G115" s="1286">
        <v>1</v>
      </c>
      <c r="H115" s="1286">
        <v>10</v>
      </c>
      <c r="I115" s="1286">
        <v>3</v>
      </c>
      <c r="J115" s="1286">
        <v>2</v>
      </c>
      <c r="K115" s="1286">
        <v>1</v>
      </c>
      <c r="L115" s="1286">
        <v>5</v>
      </c>
      <c r="M115" s="1286">
        <v>5</v>
      </c>
      <c r="N115" s="1286">
        <v>4</v>
      </c>
      <c r="O115" s="1286">
        <v>2</v>
      </c>
      <c r="P115" s="1286">
        <v>152</v>
      </c>
      <c r="Q115" s="498" t="s">
        <v>2337</v>
      </c>
      <c r="R115" s="679">
        <v>20</v>
      </c>
      <c r="S115" s="679">
        <v>0</v>
      </c>
      <c r="T115" s="679">
        <v>1</v>
      </c>
      <c r="U115" s="679">
        <v>2</v>
      </c>
      <c r="V115" s="679">
        <v>1</v>
      </c>
      <c r="W115" s="679">
        <v>1</v>
      </c>
      <c r="X115" s="679">
        <v>3</v>
      </c>
      <c r="Y115" s="679">
        <v>0</v>
      </c>
      <c r="Z115" s="679">
        <v>1</v>
      </c>
      <c r="AA115" s="679">
        <v>0</v>
      </c>
      <c r="AB115" s="679">
        <v>1</v>
      </c>
      <c r="AC115" s="679">
        <v>1</v>
      </c>
      <c r="AD115" s="679">
        <v>0</v>
      </c>
      <c r="AE115" s="679">
        <v>0</v>
      </c>
      <c r="AF115" s="679">
        <v>31</v>
      </c>
      <c r="AG115" s="498" t="s">
        <v>2337</v>
      </c>
      <c r="AH115" s="1287">
        <v>78</v>
      </c>
      <c r="AI115" s="1287">
        <v>5</v>
      </c>
      <c r="AJ115" s="1287">
        <v>4</v>
      </c>
      <c r="AK115" s="1287">
        <v>6</v>
      </c>
      <c r="AL115" s="1287">
        <v>2</v>
      </c>
      <c r="AM115" s="1287">
        <v>0</v>
      </c>
      <c r="AN115" s="1287">
        <v>7</v>
      </c>
      <c r="AO115" s="1287">
        <v>3</v>
      </c>
      <c r="AP115" s="1287">
        <v>1</v>
      </c>
      <c r="AQ115" s="1287">
        <v>1</v>
      </c>
      <c r="AR115" s="1287">
        <v>4</v>
      </c>
      <c r="AS115" s="1287">
        <v>4</v>
      </c>
      <c r="AT115" s="1287">
        <v>4</v>
      </c>
      <c r="AU115" s="1287">
        <v>2</v>
      </c>
      <c r="AV115" s="1287">
        <v>121</v>
      </c>
    </row>
    <row r="116" spans="1:48">
      <c r="A116" s="498">
        <v>90</v>
      </c>
      <c r="B116" s="1286">
        <v>6</v>
      </c>
      <c r="C116" s="1286">
        <v>0</v>
      </c>
      <c r="D116" s="1286">
        <v>2</v>
      </c>
      <c r="E116" s="1286">
        <v>0</v>
      </c>
      <c r="F116" s="1286">
        <v>0</v>
      </c>
      <c r="G116" s="1286">
        <v>1</v>
      </c>
      <c r="H116" s="1286">
        <v>1</v>
      </c>
      <c r="I116" s="1286">
        <v>0</v>
      </c>
      <c r="J116" s="1286">
        <v>0</v>
      </c>
      <c r="K116" s="1286">
        <v>1</v>
      </c>
      <c r="L116" s="1286">
        <v>0</v>
      </c>
      <c r="M116" s="1286">
        <v>0</v>
      </c>
      <c r="N116" s="1286">
        <v>0</v>
      </c>
      <c r="O116" s="1286">
        <v>1</v>
      </c>
      <c r="P116" s="1286">
        <v>12</v>
      </c>
      <c r="Q116" s="498">
        <v>90</v>
      </c>
      <c r="R116" s="679">
        <v>2</v>
      </c>
      <c r="S116" s="679">
        <v>0</v>
      </c>
      <c r="T116" s="679">
        <v>0</v>
      </c>
      <c r="U116" s="679">
        <v>0</v>
      </c>
      <c r="V116" s="679">
        <v>0</v>
      </c>
      <c r="W116" s="679">
        <v>1</v>
      </c>
      <c r="X116" s="679">
        <v>0</v>
      </c>
      <c r="Y116" s="679">
        <v>0</v>
      </c>
      <c r="Z116" s="679">
        <v>0</v>
      </c>
      <c r="AA116" s="679">
        <v>0</v>
      </c>
      <c r="AB116" s="679">
        <v>0</v>
      </c>
      <c r="AC116" s="679">
        <v>0</v>
      </c>
      <c r="AD116" s="679">
        <v>0</v>
      </c>
      <c r="AE116" s="679">
        <v>0</v>
      </c>
      <c r="AF116" s="679">
        <v>3</v>
      </c>
      <c r="AG116" s="498">
        <v>90</v>
      </c>
      <c r="AH116" s="1287">
        <v>4</v>
      </c>
      <c r="AI116" s="1287">
        <v>0</v>
      </c>
      <c r="AJ116" s="1287">
        <v>2</v>
      </c>
      <c r="AK116" s="1287">
        <v>0</v>
      </c>
      <c r="AL116" s="1287">
        <v>0</v>
      </c>
      <c r="AM116" s="1287">
        <v>0</v>
      </c>
      <c r="AN116" s="1287">
        <v>1</v>
      </c>
      <c r="AO116" s="1287">
        <v>0</v>
      </c>
      <c r="AP116" s="1287">
        <v>0</v>
      </c>
      <c r="AQ116" s="1287">
        <v>1</v>
      </c>
      <c r="AR116" s="1287">
        <v>0</v>
      </c>
      <c r="AS116" s="1287">
        <v>0</v>
      </c>
      <c r="AT116" s="1287">
        <v>0</v>
      </c>
      <c r="AU116" s="1287">
        <v>1</v>
      </c>
      <c r="AV116" s="1287">
        <v>9</v>
      </c>
    </row>
    <row r="117" spans="1:48">
      <c r="A117" s="498">
        <v>91</v>
      </c>
      <c r="B117" s="1286">
        <v>8</v>
      </c>
      <c r="C117" s="1286">
        <v>0</v>
      </c>
      <c r="D117" s="1286">
        <v>0</v>
      </c>
      <c r="E117" s="1286">
        <v>3</v>
      </c>
      <c r="F117" s="1286">
        <v>0</v>
      </c>
      <c r="G117" s="1286">
        <v>0</v>
      </c>
      <c r="H117" s="1286">
        <v>1</v>
      </c>
      <c r="I117" s="1286">
        <v>0</v>
      </c>
      <c r="J117" s="1286">
        <v>0</v>
      </c>
      <c r="K117" s="1286">
        <v>0</v>
      </c>
      <c r="L117" s="1286">
        <v>0</v>
      </c>
      <c r="M117" s="1286">
        <v>0</v>
      </c>
      <c r="N117" s="1286">
        <v>1</v>
      </c>
      <c r="O117" s="1286">
        <v>0</v>
      </c>
      <c r="P117" s="1286">
        <v>13</v>
      </c>
      <c r="Q117" s="498">
        <v>91</v>
      </c>
      <c r="R117" s="679">
        <v>3</v>
      </c>
      <c r="S117" s="679">
        <v>0</v>
      </c>
      <c r="T117" s="679">
        <v>0</v>
      </c>
      <c r="U117" s="679">
        <v>0</v>
      </c>
      <c r="V117" s="679">
        <v>0</v>
      </c>
      <c r="W117" s="679">
        <v>0</v>
      </c>
      <c r="X117" s="679">
        <v>0</v>
      </c>
      <c r="Y117" s="679">
        <v>0</v>
      </c>
      <c r="Z117" s="679">
        <v>0</v>
      </c>
      <c r="AA117" s="679">
        <v>0</v>
      </c>
      <c r="AB117" s="679">
        <v>0</v>
      </c>
      <c r="AC117" s="679">
        <v>0</v>
      </c>
      <c r="AD117" s="679">
        <v>1</v>
      </c>
      <c r="AE117" s="679">
        <v>0</v>
      </c>
      <c r="AF117" s="679">
        <v>4</v>
      </c>
      <c r="AG117" s="498">
        <v>91</v>
      </c>
      <c r="AH117" s="1287">
        <v>5</v>
      </c>
      <c r="AI117" s="1287">
        <v>0</v>
      </c>
      <c r="AJ117" s="1287">
        <v>0</v>
      </c>
      <c r="AK117" s="1287">
        <v>3</v>
      </c>
      <c r="AL117" s="1287">
        <v>0</v>
      </c>
      <c r="AM117" s="1287">
        <v>0</v>
      </c>
      <c r="AN117" s="1287">
        <v>1</v>
      </c>
      <c r="AO117" s="1287">
        <v>0</v>
      </c>
      <c r="AP117" s="1287">
        <v>0</v>
      </c>
      <c r="AQ117" s="1287">
        <v>0</v>
      </c>
      <c r="AR117" s="1287">
        <v>0</v>
      </c>
      <c r="AS117" s="1287">
        <v>0</v>
      </c>
      <c r="AT117" s="1287">
        <v>0</v>
      </c>
      <c r="AU117" s="1287">
        <v>0</v>
      </c>
      <c r="AV117" s="1287">
        <v>9</v>
      </c>
    </row>
    <row r="118" spans="1:48">
      <c r="A118" s="498">
        <v>92</v>
      </c>
      <c r="B118" s="1286">
        <v>4</v>
      </c>
      <c r="C118" s="1286">
        <v>0</v>
      </c>
      <c r="D118" s="1286">
        <v>0</v>
      </c>
      <c r="E118" s="1286">
        <v>0</v>
      </c>
      <c r="F118" s="1286">
        <v>0</v>
      </c>
      <c r="G118" s="1286">
        <v>0</v>
      </c>
      <c r="H118" s="1286">
        <v>0</v>
      </c>
      <c r="I118" s="1286">
        <v>0</v>
      </c>
      <c r="J118" s="1286">
        <v>0</v>
      </c>
      <c r="K118" s="1286">
        <v>1</v>
      </c>
      <c r="L118" s="1286">
        <v>0</v>
      </c>
      <c r="M118" s="1286">
        <v>0</v>
      </c>
      <c r="N118" s="1286">
        <v>0</v>
      </c>
      <c r="O118" s="1286">
        <v>0</v>
      </c>
      <c r="P118" s="1286">
        <v>5</v>
      </c>
      <c r="Q118" s="498">
        <v>92</v>
      </c>
      <c r="R118" s="679">
        <v>0</v>
      </c>
      <c r="S118" s="679">
        <v>0</v>
      </c>
      <c r="T118" s="679">
        <v>0</v>
      </c>
      <c r="U118" s="679">
        <v>0</v>
      </c>
      <c r="V118" s="679">
        <v>0</v>
      </c>
      <c r="W118" s="679">
        <v>0</v>
      </c>
      <c r="X118" s="679">
        <v>0</v>
      </c>
      <c r="Y118" s="679">
        <v>0</v>
      </c>
      <c r="Z118" s="679">
        <v>0</v>
      </c>
      <c r="AA118" s="679">
        <v>0</v>
      </c>
      <c r="AB118" s="679">
        <v>0</v>
      </c>
      <c r="AC118" s="679">
        <v>0</v>
      </c>
      <c r="AD118" s="679">
        <v>0</v>
      </c>
      <c r="AE118" s="679">
        <v>0</v>
      </c>
      <c r="AF118" s="679">
        <v>0</v>
      </c>
      <c r="AG118" s="498">
        <v>92</v>
      </c>
      <c r="AH118" s="1287">
        <v>4</v>
      </c>
      <c r="AI118" s="1287">
        <v>0</v>
      </c>
      <c r="AJ118" s="1287">
        <v>0</v>
      </c>
      <c r="AK118" s="1287">
        <v>0</v>
      </c>
      <c r="AL118" s="1287">
        <v>0</v>
      </c>
      <c r="AM118" s="1287">
        <v>0</v>
      </c>
      <c r="AN118" s="1287">
        <v>0</v>
      </c>
      <c r="AO118" s="1287">
        <v>0</v>
      </c>
      <c r="AP118" s="1287">
        <v>0</v>
      </c>
      <c r="AQ118" s="1287">
        <v>1</v>
      </c>
      <c r="AR118" s="1287">
        <v>0</v>
      </c>
      <c r="AS118" s="1287">
        <v>0</v>
      </c>
      <c r="AT118" s="1287">
        <v>0</v>
      </c>
      <c r="AU118" s="1287">
        <v>0</v>
      </c>
      <c r="AV118" s="1287">
        <v>5</v>
      </c>
    </row>
    <row r="119" spans="1:48">
      <c r="A119" s="498">
        <v>93</v>
      </c>
      <c r="B119" s="1286">
        <v>2</v>
      </c>
      <c r="C119" s="1286">
        <v>0</v>
      </c>
      <c r="D119" s="1286">
        <v>0</v>
      </c>
      <c r="E119" s="1286">
        <v>0</v>
      </c>
      <c r="F119" s="1286">
        <v>0</v>
      </c>
      <c r="G119" s="1286">
        <v>0</v>
      </c>
      <c r="H119" s="1286">
        <v>0</v>
      </c>
      <c r="I119" s="1286">
        <v>0</v>
      </c>
      <c r="J119" s="1286">
        <v>0</v>
      </c>
      <c r="K119" s="1286">
        <v>0</v>
      </c>
      <c r="L119" s="1286">
        <v>0</v>
      </c>
      <c r="M119" s="1286">
        <v>0</v>
      </c>
      <c r="N119" s="1286">
        <v>0</v>
      </c>
      <c r="O119" s="1286">
        <v>1</v>
      </c>
      <c r="P119" s="1286">
        <v>3</v>
      </c>
      <c r="Q119" s="498">
        <v>93</v>
      </c>
      <c r="R119" s="679">
        <v>0</v>
      </c>
      <c r="S119" s="679">
        <v>0</v>
      </c>
      <c r="T119" s="679">
        <v>0</v>
      </c>
      <c r="U119" s="679">
        <v>0</v>
      </c>
      <c r="V119" s="679">
        <v>0</v>
      </c>
      <c r="W119" s="679">
        <v>0</v>
      </c>
      <c r="X119" s="679">
        <v>0</v>
      </c>
      <c r="Y119" s="679">
        <v>0</v>
      </c>
      <c r="Z119" s="679">
        <v>0</v>
      </c>
      <c r="AA119" s="679">
        <v>0</v>
      </c>
      <c r="AB119" s="679">
        <v>0</v>
      </c>
      <c r="AC119" s="679">
        <v>0</v>
      </c>
      <c r="AD119" s="679">
        <v>0</v>
      </c>
      <c r="AE119" s="679">
        <v>0</v>
      </c>
      <c r="AF119" s="679">
        <v>0</v>
      </c>
      <c r="AG119" s="498">
        <v>93</v>
      </c>
      <c r="AH119" s="1287">
        <v>2</v>
      </c>
      <c r="AI119" s="1287">
        <v>0</v>
      </c>
      <c r="AJ119" s="1287">
        <v>0</v>
      </c>
      <c r="AK119" s="1287">
        <v>0</v>
      </c>
      <c r="AL119" s="1287">
        <v>0</v>
      </c>
      <c r="AM119" s="1287">
        <v>0</v>
      </c>
      <c r="AN119" s="1287">
        <v>0</v>
      </c>
      <c r="AO119" s="1287">
        <v>0</v>
      </c>
      <c r="AP119" s="1287">
        <v>0</v>
      </c>
      <c r="AQ119" s="1287">
        <v>0</v>
      </c>
      <c r="AR119" s="1287">
        <v>0</v>
      </c>
      <c r="AS119" s="1287">
        <v>0</v>
      </c>
      <c r="AT119" s="1287">
        <v>0</v>
      </c>
      <c r="AU119" s="1287">
        <v>1</v>
      </c>
      <c r="AV119" s="1287">
        <v>3</v>
      </c>
    </row>
    <row r="120" spans="1:48">
      <c r="A120" s="498">
        <v>94</v>
      </c>
      <c r="B120" s="1286">
        <v>3</v>
      </c>
      <c r="C120" s="1286">
        <v>0</v>
      </c>
      <c r="D120" s="1286">
        <v>0</v>
      </c>
      <c r="E120" s="1286">
        <v>0</v>
      </c>
      <c r="F120" s="1286">
        <v>0</v>
      </c>
      <c r="G120" s="1286">
        <v>0</v>
      </c>
      <c r="H120" s="1286">
        <v>1</v>
      </c>
      <c r="I120" s="1286">
        <v>0</v>
      </c>
      <c r="J120" s="1286">
        <v>0</v>
      </c>
      <c r="K120" s="1286">
        <v>0</v>
      </c>
      <c r="L120" s="1286">
        <v>0</v>
      </c>
      <c r="M120" s="1286">
        <v>0</v>
      </c>
      <c r="N120" s="1286">
        <v>0</v>
      </c>
      <c r="O120" s="1286">
        <v>0</v>
      </c>
      <c r="P120" s="1286">
        <v>4</v>
      </c>
      <c r="Q120" s="498">
        <v>94</v>
      </c>
      <c r="R120" s="679">
        <v>1</v>
      </c>
      <c r="S120" s="679">
        <v>0</v>
      </c>
      <c r="T120" s="679">
        <v>0</v>
      </c>
      <c r="U120" s="679">
        <v>0</v>
      </c>
      <c r="V120" s="679">
        <v>0</v>
      </c>
      <c r="W120" s="679">
        <v>0</v>
      </c>
      <c r="X120" s="679">
        <v>0</v>
      </c>
      <c r="Y120" s="679">
        <v>0</v>
      </c>
      <c r="Z120" s="679">
        <v>0</v>
      </c>
      <c r="AA120" s="679">
        <v>0</v>
      </c>
      <c r="AB120" s="679">
        <v>0</v>
      </c>
      <c r="AC120" s="679">
        <v>0</v>
      </c>
      <c r="AD120" s="679">
        <v>0</v>
      </c>
      <c r="AE120" s="679">
        <v>0</v>
      </c>
      <c r="AF120" s="679">
        <v>1</v>
      </c>
      <c r="AG120" s="498">
        <v>94</v>
      </c>
      <c r="AH120" s="1287">
        <v>2</v>
      </c>
      <c r="AI120" s="1287">
        <v>0</v>
      </c>
      <c r="AJ120" s="1287">
        <v>0</v>
      </c>
      <c r="AK120" s="1287">
        <v>0</v>
      </c>
      <c r="AL120" s="1287">
        <v>0</v>
      </c>
      <c r="AM120" s="1287">
        <v>0</v>
      </c>
      <c r="AN120" s="1287">
        <v>1</v>
      </c>
      <c r="AO120" s="1287">
        <v>0</v>
      </c>
      <c r="AP120" s="1287">
        <v>0</v>
      </c>
      <c r="AQ120" s="1287">
        <v>0</v>
      </c>
      <c r="AR120" s="1287">
        <v>0</v>
      </c>
      <c r="AS120" s="1287">
        <v>0</v>
      </c>
      <c r="AT120" s="1287">
        <v>0</v>
      </c>
      <c r="AU120" s="1287">
        <v>0</v>
      </c>
      <c r="AV120" s="1287">
        <v>3</v>
      </c>
    </row>
    <row r="121" spans="1:48">
      <c r="A121" s="498" t="s">
        <v>2338</v>
      </c>
      <c r="B121" s="1286">
        <v>23</v>
      </c>
      <c r="C121" s="1286">
        <v>0</v>
      </c>
      <c r="D121" s="1286">
        <v>2</v>
      </c>
      <c r="E121" s="1286">
        <v>3</v>
      </c>
      <c r="F121" s="1286">
        <v>0</v>
      </c>
      <c r="G121" s="1286">
        <v>1</v>
      </c>
      <c r="H121" s="1286">
        <v>3</v>
      </c>
      <c r="I121" s="1286">
        <v>0</v>
      </c>
      <c r="J121" s="1286">
        <v>0</v>
      </c>
      <c r="K121" s="1286">
        <v>2</v>
      </c>
      <c r="L121" s="1286">
        <v>0</v>
      </c>
      <c r="M121" s="1286">
        <v>0</v>
      </c>
      <c r="N121" s="1286">
        <v>1</v>
      </c>
      <c r="O121" s="1286">
        <v>2</v>
      </c>
      <c r="P121" s="1286">
        <v>37</v>
      </c>
      <c r="Q121" s="498" t="s">
        <v>2338</v>
      </c>
      <c r="R121" s="679">
        <v>6</v>
      </c>
      <c r="S121" s="679">
        <v>0</v>
      </c>
      <c r="T121" s="679">
        <v>0</v>
      </c>
      <c r="U121" s="679">
        <v>0</v>
      </c>
      <c r="V121" s="679">
        <v>0</v>
      </c>
      <c r="W121" s="679">
        <v>1</v>
      </c>
      <c r="X121" s="679">
        <v>0</v>
      </c>
      <c r="Y121" s="679">
        <v>0</v>
      </c>
      <c r="Z121" s="679">
        <v>0</v>
      </c>
      <c r="AA121" s="679">
        <v>0</v>
      </c>
      <c r="AB121" s="679">
        <v>0</v>
      </c>
      <c r="AC121" s="679">
        <v>0</v>
      </c>
      <c r="AD121" s="679">
        <v>1</v>
      </c>
      <c r="AE121" s="679">
        <v>0</v>
      </c>
      <c r="AF121" s="679">
        <v>8</v>
      </c>
      <c r="AG121" s="498" t="s">
        <v>2338</v>
      </c>
      <c r="AH121" s="1287">
        <v>17</v>
      </c>
      <c r="AI121" s="1287">
        <v>0</v>
      </c>
      <c r="AJ121" s="1287">
        <v>2</v>
      </c>
      <c r="AK121" s="1287">
        <v>3</v>
      </c>
      <c r="AL121" s="1287">
        <v>0</v>
      </c>
      <c r="AM121" s="1287">
        <v>0</v>
      </c>
      <c r="AN121" s="1287">
        <v>3</v>
      </c>
      <c r="AO121" s="1287">
        <v>0</v>
      </c>
      <c r="AP121" s="1287">
        <v>0</v>
      </c>
      <c r="AQ121" s="1287">
        <v>2</v>
      </c>
      <c r="AR121" s="1287">
        <v>0</v>
      </c>
      <c r="AS121" s="1287">
        <v>0</v>
      </c>
      <c r="AT121" s="1287">
        <v>0</v>
      </c>
      <c r="AU121" s="1287">
        <v>2</v>
      </c>
      <c r="AV121" s="1287">
        <v>29</v>
      </c>
    </row>
    <row r="122" spans="1:48">
      <c r="A122" s="498">
        <v>95</v>
      </c>
      <c r="B122" s="1286">
        <v>3</v>
      </c>
      <c r="C122" s="1286">
        <v>0</v>
      </c>
      <c r="D122" s="1286">
        <v>0</v>
      </c>
      <c r="E122" s="1286">
        <v>0</v>
      </c>
      <c r="F122" s="1286">
        <v>0</v>
      </c>
      <c r="G122" s="1286">
        <v>0</v>
      </c>
      <c r="H122" s="1286">
        <v>1</v>
      </c>
      <c r="I122" s="1286">
        <v>0</v>
      </c>
      <c r="J122" s="1286">
        <v>0</v>
      </c>
      <c r="K122" s="1286">
        <v>0</v>
      </c>
      <c r="L122" s="1286">
        <v>0</v>
      </c>
      <c r="M122" s="1286">
        <v>0</v>
      </c>
      <c r="N122" s="1286">
        <v>0</v>
      </c>
      <c r="O122" s="1286">
        <v>0</v>
      </c>
      <c r="P122" s="1286">
        <v>4</v>
      </c>
      <c r="Q122" s="498">
        <v>95</v>
      </c>
      <c r="R122" s="679">
        <v>0</v>
      </c>
      <c r="S122" s="679">
        <v>0</v>
      </c>
      <c r="T122" s="679">
        <v>0</v>
      </c>
      <c r="U122" s="679">
        <v>0</v>
      </c>
      <c r="V122" s="679">
        <v>0</v>
      </c>
      <c r="W122" s="679">
        <v>0</v>
      </c>
      <c r="X122" s="679">
        <v>0</v>
      </c>
      <c r="Y122" s="679">
        <v>0</v>
      </c>
      <c r="Z122" s="679">
        <v>0</v>
      </c>
      <c r="AA122" s="679">
        <v>0</v>
      </c>
      <c r="AB122" s="679">
        <v>0</v>
      </c>
      <c r="AC122" s="679">
        <v>0</v>
      </c>
      <c r="AD122" s="679">
        <v>0</v>
      </c>
      <c r="AE122" s="679">
        <v>0</v>
      </c>
      <c r="AF122" s="679">
        <v>0</v>
      </c>
      <c r="AG122" s="498">
        <v>95</v>
      </c>
      <c r="AH122" s="1287">
        <v>3</v>
      </c>
      <c r="AI122" s="1287">
        <v>0</v>
      </c>
      <c r="AJ122" s="1287">
        <v>0</v>
      </c>
      <c r="AK122" s="1287">
        <v>0</v>
      </c>
      <c r="AL122" s="1287">
        <v>0</v>
      </c>
      <c r="AM122" s="1287">
        <v>0</v>
      </c>
      <c r="AN122" s="1287">
        <v>1</v>
      </c>
      <c r="AO122" s="1287">
        <v>0</v>
      </c>
      <c r="AP122" s="1287">
        <v>0</v>
      </c>
      <c r="AQ122" s="1287">
        <v>0</v>
      </c>
      <c r="AR122" s="1287">
        <v>0</v>
      </c>
      <c r="AS122" s="1287">
        <v>0</v>
      </c>
      <c r="AT122" s="1287">
        <v>0</v>
      </c>
      <c r="AU122" s="1287">
        <v>0</v>
      </c>
      <c r="AV122" s="1287">
        <v>4</v>
      </c>
    </row>
    <row r="123" spans="1:48">
      <c r="A123" s="498">
        <v>96</v>
      </c>
      <c r="B123" s="1286">
        <v>1</v>
      </c>
      <c r="C123" s="1286">
        <v>0</v>
      </c>
      <c r="D123" s="1286">
        <v>0</v>
      </c>
      <c r="E123" s="1286">
        <v>0</v>
      </c>
      <c r="F123" s="1286">
        <v>0</v>
      </c>
      <c r="G123" s="1286">
        <v>0</v>
      </c>
      <c r="H123" s="1286">
        <v>0</v>
      </c>
      <c r="I123" s="1286">
        <v>0</v>
      </c>
      <c r="J123" s="1286">
        <v>0</v>
      </c>
      <c r="K123" s="1286">
        <v>0</v>
      </c>
      <c r="L123" s="1286">
        <v>0</v>
      </c>
      <c r="M123" s="1286">
        <v>0</v>
      </c>
      <c r="N123" s="1286">
        <v>0</v>
      </c>
      <c r="O123" s="1286">
        <v>0</v>
      </c>
      <c r="P123" s="1286">
        <v>1</v>
      </c>
      <c r="Q123" s="498">
        <v>96</v>
      </c>
      <c r="R123" s="679">
        <v>0</v>
      </c>
      <c r="S123" s="679">
        <v>0</v>
      </c>
      <c r="T123" s="679">
        <v>0</v>
      </c>
      <c r="U123" s="679">
        <v>0</v>
      </c>
      <c r="V123" s="679">
        <v>0</v>
      </c>
      <c r="W123" s="679">
        <v>0</v>
      </c>
      <c r="X123" s="679">
        <v>0</v>
      </c>
      <c r="Y123" s="679">
        <v>0</v>
      </c>
      <c r="Z123" s="679">
        <v>0</v>
      </c>
      <c r="AA123" s="679">
        <v>0</v>
      </c>
      <c r="AB123" s="679">
        <v>0</v>
      </c>
      <c r="AC123" s="679">
        <v>0</v>
      </c>
      <c r="AD123" s="679">
        <v>0</v>
      </c>
      <c r="AE123" s="679">
        <v>0</v>
      </c>
      <c r="AF123" s="679">
        <v>0</v>
      </c>
      <c r="AG123" s="498">
        <v>96</v>
      </c>
      <c r="AH123" s="1287">
        <v>1</v>
      </c>
      <c r="AI123" s="1287">
        <v>0</v>
      </c>
      <c r="AJ123" s="1287">
        <v>0</v>
      </c>
      <c r="AK123" s="1287">
        <v>0</v>
      </c>
      <c r="AL123" s="1287">
        <v>0</v>
      </c>
      <c r="AM123" s="1287">
        <v>0</v>
      </c>
      <c r="AN123" s="1287">
        <v>0</v>
      </c>
      <c r="AO123" s="1287">
        <v>0</v>
      </c>
      <c r="AP123" s="1287">
        <v>0</v>
      </c>
      <c r="AQ123" s="1287">
        <v>0</v>
      </c>
      <c r="AR123" s="1287">
        <v>0</v>
      </c>
      <c r="AS123" s="1287">
        <v>0</v>
      </c>
      <c r="AT123" s="1287">
        <v>0</v>
      </c>
      <c r="AU123" s="1287">
        <v>0</v>
      </c>
      <c r="AV123" s="1287">
        <v>1</v>
      </c>
    </row>
    <row r="124" spans="1:48">
      <c r="A124" s="498">
        <v>97</v>
      </c>
      <c r="B124" s="1286">
        <v>1</v>
      </c>
      <c r="C124" s="1286">
        <v>0</v>
      </c>
      <c r="D124" s="1286">
        <v>0</v>
      </c>
      <c r="E124" s="1286">
        <v>0</v>
      </c>
      <c r="F124" s="1286">
        <v>0</v>
      </c>
      <c r="G124" s="1286">
        <v>0</v>
      </c>
      <c r="H124" s="1286">
        <v>0</v>
      </c>
      <c r="I124" s="1286">
        <v>0</v>
      </c>
      <c r="J124" s="1286">
        <v>0</v>
      </c>
      <c r="K124" s="1286">
        <v>0</v>
      </c>
      <c r="L124" s="1286">
        <v>0</v>
      </c>
      <c r="M124" s="1286">
        <v>0</v>
      </c>
      <c r="N124" s="1286">
        <v>0</v>
      </c>
      <c r="O124" s="1286">
        <v>0</v>
      </c>
      <c r="P124" s="1286">
        <v>1</v>
      </c>
      <c r="Q124" s="498">
        <v>97</v>
      </c>
      <c r="R124" s="679">
        <v>0</v>
      </c>
      <c r="S124" s="679">
        <v>0</v>
      </c>
      <c r="T124" s="679">
        <v>0</v>
      </c>
      <c r="U124" s="679">
        <v>0</v>
      </c>
      <c r="V124" s="679">
        <v>0</v>
      </c>
      <c r="W124" s="679">
        <v>0</v>
      </c>
      <c r="X124" s="679">
        <v>0</v>
      </c>
      <c r="Y124" s="679">
        <v>0</v>
      </c>
      <c r="Z124" s="679">
        <v>0</v>
      </c>
      <c r="AA124" s="679">
        <v>0</v>
      </c>
      <c r="AB124" s="679">
        <v>0</v>
      </c>
      <c r="AC124" s="679">
        <v>0</v>
      </c>
      <c r="AD124" s="679">
        <v>0</v>
      </c>
      <c r="AE124" s="679">
        <v>0</v>
      </c>
      <c r="AF124" s="679">
        <v>0</v>
      </c>
      <c r="AG124" s="498">
        <v>97</v>
      </c>
      <c r="AH124" s="1287">
        <v>1</v>
      </c>
      <c r="AI124" s="1287">
        <v>0</v>
      </c>
      <c r="AJ124" s="1287">
        <v>0</v>
      </c>
      <c r="AK124" s="1287">
        <v>0</v>
      </c>
      <c r="AL124" s="1287">
        <v>0</v>
      </c>
      <c r="AM124" s="1287">
        <v>0</v>
      </c>
      <c r="AN124" s="1287">
        <v>0</v>
      </c>
      <c r="AO124" s="1287">
        <v>0</v>
      </c>
      <c r="AP124" s="1287">
        <v>0</v>
      </c>
      <c r="AQ124" s="1287">
        <v>0</v>
      </c>
      <c r="AR124" s="1287">
        <v>0</v>
      </c>
      <c r="AS124" s="1287">
        <v>0</v>
      </c>
      <c r="AT124" s="1287">
        <v>0</v>
      </c>
      <c r="AU124" s="1287">
        <v>0</v>
      </c>
      <c r="AV124" s="1287">
        <v>1</v>
      </c>
    </row>
    <row r="125" spans="1:48">
      <c r="A125" s="498">
        <v>98</v>
      </c>
      <c r="B125" s="1286">
        <v>1</v>
      </c>
      <c r="C125" s="1286">
        <v>0</v>
      </c>
      <c r="D125" s="1286">
        <v>0</v>
      </c>
      <c r="E125" s="1286">
        <v>0</v>
      </c>
      <c r="F125" s="1286">
        <v>0</v>
      </c>
      <c r="G125" s="1286">
        <v>0</v>
      </c>
      <c r="H125" s="1286">
        <v>0</v>
      </c>
      <c r="I125" s="1286">
        <v>0</v>
      </c>
      <c r="J125" s="1286">
        <v>0</v>
      </c>
      <c r="K125" s="1286">
        <v>0</v>
      </c>
      <c r="L125" s="1286">
        <v>0</v>
      </c>
      <c r="M125" s="1286">
        <v>0</v>
      </c>
      <c r="N125" s="1286">
        <v>0</v>
      </c>
      <c r="O125" s="1286">
        <v>0</v>
      </c>
      <c r="P125" s="1286">
        <v>1</v>
      </c>
      <c r="Q125" s="498">
        <v>98</v>
      </c>
      <c r="R125" s="679">
        <v>0</v>
      </c>
      <c r="S125" s="679">
        <v>0</v>
      </c>
      <c r="T125" s="679">
        <v>0</v>
      </c>
      <c r="U125" s="679">
        <v>0</v>
      </c>
      <c r="V125" s="679">
        <v>0</v>
      </c>
      <c r="W125" s="679">
        <v>0</v>
      </c>
      <c r="X125" s="679">
        <v>0</v>
      </c>
      <c r="Y125" s="679">
        <v>0</v>
      </c>
      <c r="Z125" s="679">
        <v>0</v>
      </c>
      <c r="AA125" s="679">
        <v>0</v>
      </c>
      <c r="AB125" s="679">
        <v>0</v>
      </c>
      <c r="AC125" s="679">
        <v>0</v>
      </c>
      <c r="AD125" s="679">
        <v>0</v>
      </c>
      <c r="AE125" s="679">
        <v>0</v>
      </c>
      <c r="AF125" s="679">
        <v>0</v>
      </c>
      <c r="AG125" s="498">
        <v>98</v>
      </c>
      <c r="AH125" s="1287">
        <v>1</v>
      </c>
      <c r="AI125" s="1287">
        <v>0</v>
      </c>
      <c r="AJ125" s="1287">
        <v>0</v>
      </c>
      <c r="AK125" s="1287">
        <v>0</v>
      </c>
      <c r="AL125" s="1287">
        <v>0</v>
      </c>
      <c r="AM125" s="1287">
        <v>0</v>
      </c>
      <c r="AN125" s="1287">
        <v>0</v>
      </c>
      <c r="AO125" s="1287">
        <v>0</v>
      </c>
      <c r="AP125" s="1287">
        <v>0</v>
      </c>
      <c r="AQ125" s="1287">
        <v>0</v>
      </c>
      <c r="AR125" s="1287">
        <v>0</v>
      </c>
      <c r="AS125" s="1287">
        <v>0</v>
      </c>
      <c r="AT125" s="1287">
        <v>0</v>
      </c>
      <c r="AU125" s="1287">
        <v>0</v>
      </c>
      <c r="AV125" s="1287">
        <v>1</v>
      </c>
    </row>
    <row r="126" spans="1:48">
      <c r="A126" s="498">
        <v>99</v>
      </c>
      <c r="B126" s="1286">
        <v>0</v>
      </c>
      <c r="C126" s="1286">
        <v>0</v>
      </c>
      <c r="D126" s="1286">
        <v>0</v>
      </c>
      <c r="E126" s="1286">
        <v>0</v>
      </c>
      <c r="F126" s="1286">
        <v>0</v>
      </c>
      <c r="G126" s="1286">
        <v>0</v>
      </c>
      <c r="H126" s="1286">
        <v>0</v>
      </c>
      <c r="I126" s="1286">
        <v>0</v>
      </c>
      <c r="J126" s="1286">
        <v>0</v>
      </c>
      <c r="K126" s="1286">
        <v>0</v>
      </c>
      <c r="L126" s="1286">
        <v>0</v>
      </c>
      <c r="M126" s="1286">
        <v>0</v>
      </c>
      <c r="N126" s="1286">
        <v>0</v>
      </c>
      <c r="O126" s="1286">
        <v>0</v>
      </c>
      <c r="P126" s="1286">
        <v>0</v>
      </c>
      <c r="Q126" s="498">
        <v>99</v>
      </c>
      <c r="R126" s="679">
        <v>0</v>
      </c>
      <c r="S126" s="679">
        <v>0</v>
      </c>
      <c r="T126" s="679">
        <v>0</v>
      </c>
      <c r="U126" s="679">
        <v>0</v>
      </c>
      <c r="V126" s="679">
        <v>0</v>
      </c>
      <c r="W126" s="679">
        <v>0</v>
      </c>
      <c r="X126" s="679">
        <v>0</v>
      </c>
      <c r="Y126" s="679">
        <v>0</v>
      </c>
      <c r="Z126" s="679">
        <v>0</v>
      </c>
      <c r="AA126" s="679">
        <v>0</v>
      </c>
      <c r="AB126" s="679">
        <v>0</v>
      </c>
      <c r="AC126" s="679">
        <v>0</v>
      </c>
      <c r="AD126" s="679">
        <v>0</v>
      </c>
      <c r="AE126" s="679">
        <v>0</v>
      </c>
      <c r="AF126" s="679">
        <v>0</v>
      </c>
      <c r="AG126" s="498">
        <v>99</v>
      </c>
      <c r="AH126" s="1287">
        <v>0</v>
      </c>
      <c r="AI126" s="1287">
        <v>0</v>
      </c>
      <c r="AJ126" s="1287">
        <v>0</v>
      </c>
      <c r="AK126" s="1287">
        <v>0</v>
      </c>
      <c r="AL126" s="1287">
        <v>0</v>
      </c>
      <c r="AM126" s="1287">
        <v>0</v>
      </c>
      <c r="AN126" s="1287">
        <v>0</v>
      </c>
      <c r="AO126" s="1287">
        <v>0</v>
      </c>
      <c r="AP126" s="1287">
        <v>0</v>
      </c>
      <c r="AQ126" s="1287">
        <v>0</v>
      </c>
      <c r="AR126" s="1287">
        <v>0</v>
      </c>
      <c r="AS126" s="1287">
        <v>0</v>
      </c>
      <c r="AT126" s="1287">
        <v>0</v>
      </c>
      <c r="AU126" s="1287">
        <v>0</v>
      </c>
      <c r="AV126" s="1287">
        <v>0</v>
      </c>
    </row>
    <row r="127" spans="1:48">
      <c r="A127" s="498" t="s">
        <v>2339</v>
      </c>
      <c r="B127" s="1286">
        <v>6</v>
      </c>
      <c r="C127" s="1286">
        <v>0</v>
      </c>
      <c r="D127" s="1286">
        <v>0</v>
      </c>
      <c r="E127" s="1286">
        <v>0</v>
      </c>
      <c r="F127" s="1286">
        <v>0</v>
      </c>
      <c r="G127" s="1286">
        <v>0</v>
      </c>
      <c r="H127" s="1286">
        <v>1</v>
      </c>
      <c r="I127" s="1286">
        <v>0</v>
      </c>
      <c r="J127" s="1286">
        <v>0</v>
      </c>
      <c r="K127" s="1286">
        <v>0</v>
      </c>
      <c r="L127" s="1286">
        <v>0</v>
      </c>
      <c r="M127" s="1286">
        <v>0</v>
      </c>
      <c r="N127" s="1286">
        <v>0</v>
      </c>
      <c r="O127" s="1286">
        <v>0</v>
      </c>
      <c r="P127" s="1286">
        <v>7</v>
      </c>
      <c r="Q127" s="498" t="s">
        <v>2339</v>
      </c>
      <c r="R127" s="679">
        <v>0</v>
      </c>
      <c r="S127" s="679">
        <v>0</v>
      </c>
      <c r="T127" s="679">
        <v>0</v>
      </c>
      <c r="U127" s="679">
        <v>0</v>
      </c>
      <c r="V127" s="679">
        <v>0</v>
      </c>
      <c r="W127" s="679">
        <v>0</v>
      </c>
      <c r="X127" s="679">
        <v>0</v>
      </c>
      <c r="Y127" s="679">
        <v>0</v>
      </c>
      <c r="Z127" s="679">
        <v>0</v>
      </c>
      <c r="AA127" s="679">
        <v>0</v>
      </c>
      <c r="AB127" s="679">
        <v>0</v>
      </c>
      <c r="AC127" s="679">
        <v>0</v>
      </c>
      <c r="AD127" s="679">
        <v>0</v>
      </c>
      <c r="AE127" s="679">
        <v>0</v>
      </c>
      <c r="AF127" s="679">
        <v>0</v>
      </c>
      <c r="AG127" s="498" t="s">
        <v>2339</v>
      </c>
      <c r="AH127" s="1287">
        <v>6</v>
      </c>
      <c r="AI127" s="1287">
        <v>0</v>
      </c>
      <c r="AJ127" s="1287">
        <v>0</v>
      </c>
      <c r="AK127" s="1287">
        <v>0</v>
      </c>
      <c r="AL127" s="1287">
        <v>0</v>
      </c>
      <c r="AM127" s="1287">
        <v>0</v>
      </c>
      <c r="AN127" s="1287">
        <v>1</v>
      </c>
      <c r="AO127" s="1287">
        <v>0</v>
      </c>
      <c r="AP127" s="1287">
        <v>0</v>
      </c>
      <c r="AQ127" s="1287">
        <v>0</v>
      </c>
      <c r="AR127" s="1287">
        <v>0</v>
      </c>
      <c r="AS127" s="1287">
        <v>0</v>
      </c>
      <c r="AT127" s="1287">
        <v>0</v>
      </c>
      <c r="AU127" s="1287">
        <v>0</v>
      </c>
      <c r="AV127" s="1287">
        <v>7</v>
      </c>
    </row>
    <row r="128" spans="1:48">
      <c r="A128" s="498" t="s">
        <v>2340</v>
      </c>
      <c r="B128" s="1286">
        <v>0</v>
      </c>
      <c r="C128" s="1286">
        <v>0</v>
      </c>
      <c r="D128" s="1286">
        <v>0</v>
      </c>
      <c r="E128" s="1286">
        <v>0</v>
      </c>
      <c r="F128" s="1286">
        <v>0</v>
      </c>
      <c r="G128" s="1286">
        <v>0</v>
      </c>
      <c r="H128" s="1286">
        <v>0</v>
      </c>
      <c r="I128" s="1286">
        <v>0</v>
      </c>
      <c r="J128" s="1286">
        <v>0</v>
      </c>
      <c r="K128" s="1286">
        <v>0</v>
      </c>
      <c r="L128" s="1286">
        <v>0</v>
      </c>
      <c r="M128" s="1286">
        <v>0</v>
      </c>
      <c r="N128" s="1286">
        <v>0</v>
      </c>
      <c r="O128" s="1286">
        <v>0</v>
      </c>
      <c r="P128" s="1286">
        <v>0</v>
      </c>
      <c r="Q128" s="498" t="s">
        <v>2340</v>
      </c>
      <c r="R128" s="679">
        <v>0</v>
      </c>
      <c r="S128" s="679">
        <v>0</v>
      </c>
      <c r="T128" s="679">
        <v>0</v>
      </c>
      <c r="U128" s="679">
        <v>0</v>
      </c>
      <c r="V128" s="679">
        <v>0</v>
      </c>
      <c r="W128" s="679">
        <v>0</v>
      </c>
      <c r="X128" s="679">
        <v>0</v>
      </c>
      <c r="Y128" s="679">
        <v>0</v>
      </c>
      <c r="Z128" s="679">
        <v>0</v>
      </c>
      <c r="AA128" s="679">
        <v>0</v>
      </c>
      <c r="AB128" s="679">
        <v>0</v>
      </c>
      <c r="AC128" s="679">
        <v>0</v>
      </c>
      <c r="AD128" s="679">
        <v>0</v>
      </c>
      <c r="AE128" s="679">
        <v>0</v>
      </c>
      <c r="AF128" s="679">
        <v>0</v>
      </c>
      <c r="AG128" s="498" t="s">
        <v>2340</v>
      </c>
      <c r="AH128" s="1287">
        <v>0</v>
      </c>
      <c r="AI128" s="1287">
        <v>0</v>
      </c>
      <c r="AJ128" s="1287">
        <v>0</v>
      </c>
      <c r="AK128" s="1287">
        <v>0</v>
      </c>
      <c r="AL128" s="1287">
        <v>0</v>
      </c>
      <c r="AM128" s="1287">
        <v>0</v>
      </c>
      <c r="AN128" s="1287">
        <v>0</v>
      </c>
      <c r="AO128" s="1287">
        <v>0</v>
      </c>
      <c r="AP128" s="1287">
        <v>0</v>
      </c>
      <c r="AQ128" s="1287">
        <v>0</v>
      </c>
      <c r="AR128" s="1287">
        <v>0</v>
      </c>
      <c r="AS128" s="1287">
        <v>0</v>
      </c>
      <c r="AT128" s="1287">
        <v>0</v>
      </c>
      <c r="AU128" s="1287">
        <v>0</v>
      </c>
      <c r="AV128" s="1287">
        <v>0</v>
      </c>
    </row>
  </sheetData>
  <mergeCells count="12">
    <mergeCell ref="A51:P51"/>
    <mergeCell ref="Q51:AF51"/>
    <mergeCell ref="AG51:AV51"/>
    <mergeCell ref="A108:P108"/>
    <mergeCell ref="Q108:AF108"/>
    <mergeCell ref="AG108:AV108"/>
    <mergeCell ref="A1:P1"/>
    <mergeCell ref="Q1:AF1"/>
    <mergeCell ref="AG1:AV1"/>
    <mergeCell ref="O3:P3"/>
    <mergeCell ref="AE3:AF3"/>
    <mergeCell ref="AU3:AV3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G70"/>
  <sheetViews>
    <sheetView workbookViewId="0">
      <selection activeCell="X27" sqref="X27"/>
    </sheetView>
  </sheetViews>
  <sheetFormatPr defaultColWidth="4.140625" defaultRowHeight="12.75"/>
  <cols>
    <col min="1" max="1" width="4.7109375" style="234" customWidth="1"/>
    <col min="2" max="2" width="30.5703125" style="234" customWidth="1"/>
    <col min="3" max="3" width="4.5703125" style="234" customWidth="1"/>
    <col min="4" max="16" width="5.7109375" style="234" customWidth="1"/>
    <col min="17" max="17" width="8.7109375" style="234" customWidth="1"/>
    <col min="18" max="18" width="9.85546875" style="234" customWidth="1"/>
    <col min="19" max="24" width="4.140625" style="234"/>
    <col min="25" max="25" width="3.42578125" style="234" customWidth="1"/>
    <col min="26" max="26" width="4.42578125" style="234" customWidth="1"/>
    <col min="27" max="27" width="3.85546875" style="234" customWidth="1"/>
    <col min="28" max="28" width="4.140625" style="234" customWidth="1"/>
    <col min="29" max="16384" width="4.140625" style="234"/>
  </cols>
  <sheetData>
    <row r="1" spans="1:18" s="448" customFormat="1" ht="12">
      <c r="A1" s="447"/>
      <c r="B1" s="447"/>
      <c r="C1" s="447"/>
      <c r="D1" s="447"/>
      <c r="F1" s="359"/>
      <c r="H1" s="449"/>
      <c r="K1" s="449"/>
      <c r="L1" s="449"/>
      <c r="M1" s="449"/>
      <c r="N1" s="449"/>
      <c r="O1" s="449"/>
      <c r="P1" s="449"/>
      <c r="Q1" s="449"/>
    </row>
    <row r="2" spans="1:18" s="448" customFormat="1" ht="12">
      <c r="A2" s="450"/>
      <c r="B2" s="450"/>
      <c r="C2" s="450"/>
      <c r="D2" s="450"/>
      <c r="E2" s="450"/>
      <c r="F2" s="450"/>
      <c r="G2" s="450"/>
      <c r="H2" s="450"/>
      <c r="I2" s="450"/>
    </row>
    <row r="3" spans="1:18" s="448" customFormat="1" ht="15.75" customHeight="1">
      <c r="A3" s="451"/>
      <c r="B3" s="1657" t="s">
        <v>955</v>
      </c>
      <c r="C3" s="1657"/>
      <c r="D3" s="1657"/>
      <c r="E3" s="1657"/>
      <c r="F3" s="1657"/>
      <c r="G3" s="1657"/>
      <c r="H3" s="1657"/>
      <c r="I3" s="1657"/>
      <c r="J3" s="1657"/>
      <c r="K3" s="1657"/>
      <c r="L3" s="1657"/>
      <c r="M3" s="1657"/>
      <c r="N3" s="447"/>
      <c r="O3" s="447"/>
      <c r="P3" s="447"/>
    </row>
    <row r="4" spans="1:18" s="448" customFormat="1">
      <c r="A4" s="451"/>
      <c r="B4" s="1657" t="s">
        <v>956</v>
      </c>
      <c r="C4" s="1657"/>
      <c r="D4" s="1657"/>
      <c r="E4" s="1657"/>
      <c r="F4" s="1657"/>
      <c r="G4" s="1657"/>
      <c r="H4" s="1657"/>
      <c r="I4" s="1657"/>
      <c r="J4" s="1657"/>
      <c r="K4" s="1657"/>
      <c r="L4" s="1657"/>
      <c r="M4" s="447"/>
      <c r="N4" s="447"/>
      <c r="O4" s="447"/>
      <c r="P4" s="447"/>
    </row>
    <row r="5" spans="1:18" s="448" customFormat="1">
      <c r="A5" s="451"/>
      <c r="B5" s="452"/>
      <c r="C5" s="1459" t="s">
        <v>957</v>
      </c>
      <c r="D5" s="1459"/>
      <c r="E5" s="1459"/>
      <c r="F5" s="1459"/>
      <c r="G5" s="1459"/>
      <c r="H5" s="1459"/>
      <c r="I5" s="1459"/>
      <c r="J5" s="1459"/>
      <c r="K5" s="1459"/>
      <c r="L5" s="634"/>
      <c r="M5" s="447"/>
      <c r="N5" s="447"/>
      <c r="O5" s="447"/>
      <c r="P5" s="447"/>
    </row>
    <row r="6" spans="1:18" s="448" customFormat="1" ht="12">
      <c r="A6" s="451"/>
      <c r="B6" s="452"/>
      <c r="C6" s="453"/>
      <c r="D6" s="453"/>
      <c r="E6" s="453"/>
      <c r="F6" s="453"/>
      <c r="J6" s="454"/>
      <c r="K6" s="447"/>
      <c r="L6" s="447"/>
      <c r="M6" s="447"/>
      <c r="N6" s="447"/>
      <c r="O6" s="447"/>
      <c r="P6" s="447"/>
    </row>
    <row r="7" spans="1:18" s="448" customFormat="1" ht="12">
      <c r="A7" s="451"/>
      <c r="B7" s="451"/>
      <c r="C7" s="453"/>
      <c r="D7" s="453"/>
      <c r="E7" s="455" t="s">
        <v>958</v>
      </c>
      <c r="F7" s="453"/>
      <c r="J7" s="454"/>
      <c r="K7" s="447"/>
      <c r="L7" s="447"/>
      <c r="M7" s="447"/>
      <c r="N7" s="447"/>
      <c r="O7" s="447"/>
      <c r="P7" s="447"/>
    </row>
    <row r="8" spans="1:18" ht="14.25" customHeight="1">
      <c r="A8" s="1748" t="s">
        <v>959</v>
      </c>
      <c r="B8" s="1748"/>
      <c r="C8" s="1766" t="s">
        <v>960</v>
      </c>
      <c r="D8" s="1599" t="s">
        <v>961</v>
      </c>
      <c r="E8" s="1600"/>
      <c r="F8" s="1600"/>
      <c r="G8" s="1600"/>
      <c r="H8" s="1600"/>
      <c r="I8" s="1600"/>
      <c r="J8" s="1777" t="s">
        <v>961</v>
      </c>
      <c r="K8" s="1778"/>
      <c r="L8" s="1778"/>
      <c r="M8" s="1778"/>
      <c r="N8" s="1778"/>
      <c r="O8" s="1779"/>
      <c r="P8" s="1414" t="s">
        <v>276</v>
      </c>
      <c r="Q8" s="1769" t="s">
        <v>962</v>
      </c>
      <c r="R8" s="1699" t="s">
        <v>426</v>
      </c>
    </row>
    <row r="9" spans="1:18" ht="15.75" customHeight="1">
      <c r="A9" s="1748"/>
      <c r="B9" s="1748"/>
      <c r="C9" s="1766"/>
      <c r="D9" s="1748" t="s">
        <v>963</v>
      </c>
      <c r="E9" s="1748"/>
      <c r="F9" s="1748">
        <v>2</v>
      </c>
      <c r="G9" s="1748"/>
      <c r="H9" s="1748">
        <v>3</v>
      </c>
      <c r="I9" s="1748"/>
      <c r="J9" s="1599">
        <v>4</v>
      </c>
      <c r="K9" s="1601"/>
      <c r="L9" s="1748">
        <v>5</v>
      </c>
      <c r="M9" s="1748"/>
      <c r="N9" s="1748">
        <v>6</v>
      </c>
      <c r="O9" s="1748"/>
      <c r="P9" s="1414"/>
      <c r="Q9" s="1770"/>
      <c r="R9" s="1753"/>
    </row>
    <row r="10" spans="1:18" s="448" customFormat="1" ht="16.5" customHeight="1">
      <c r="A10" s="1748"/>
      <c r="B10" s="1748"/>
      <c r="C10" s="1766"/>
      <c r="D10" s="97" t="s">
        <v>276</v>
      </c>
      <c r="E10" s="97" t="s">
        <v>272</v>
      </c>
      <c r="F10" s="97" t="s">
        <v>276</v>
      </c>
      <c r="G10" s="97" t="s">
        <v>272</v>
      </c>
      <c r="H10" s="97" t="s">
        <v>276</v>
      </c>
      <c r="I10" s="97" t="s">
        <v>272</v>
      </c>
      <c r="J10" s="97" t="s">
        <v>276</v>
      </c>
      <c r="K10" s="97" t="s">
        <v>272</v>
      </c>
      <c r="L10" s="97" t="s">
        <v>276</v>
      </c>
      <c r="M10" s="97" t="s">
        <v>272</v>
      </c>
      <c r="N10" s="97" t="s">
        <v>276</v>
      </c>
      <c r="O10" s="97" t="s">
        <v>272</v>
      </c>
      <c r="P10" s="1414"/>
      <c r="Q10" s="1771"/>
      <c r="R10" s="1754"/>
    </row>
    <row r="11" spans="1:18" s="448" customFormat="1" ht="11.25" customHeight="1">
      <c r="A11" s="1748" t="s">
        <v>277</v>
      </c>
      <c r="B11" s="1748"/>
      <c r="C11" s="385" t="s">
        <v>964</v>
      </c>
      <c r="D11" s="458" t="s">
        <v>965</v>
      </c>
      <c r="E11" s="458" t="s">
        <v>966</v>
      </c>
      <c r="F11" s="458" t="s">
        <v>967</v>
      </c>
      <c r="G11" s="458" t="s">
        <v>968</v>
      </c>
      <c r="H11" s="458" t="s">
        <v>969</v>
      </c>
      <c r="I11" s="458" t="s">
        <v>970</v>
      </c>
      <c r="J11" s="458" t="s">
        <v>971</v>
      </c>
      <c r="K11" s="458" t="s">
        <v>972</v>
      </c>
      <c r="L11" s="458" t="s">
        <v>973</v>
      </c>
      <c r="M11" s="458" t="s">
        <v>974</v>
      </c>
      <c r="N11" s="458" t="s">
        <v>11</v>
      </c>
      <c r="O11" s="458" t="s">
        <v>975</v>
      </c>
      <c r="P11" s="458" t="s">
        <v>976</v>
      </c>
      <c r="Q11" s="459" t="s">
        <v>977</v>
      </c>
      <c r="R11" s="97">
        <v>16</v>
      </c>
    </row>
    <row r="12" spans="1:18" s="448" customFormat="1" ht="15.75" customHeight="1">
      <c r="A12" s="1780" t="s">
        <v>978</v>
      </c>
      <c r="B12" s="1781"/>
      <c r="C12" s="459" t="s">
        <v>979</v>
      </c>
      <c r="D12" s="460">
        <v>47</v>
      </c>
      <c r="E12" s="460">
        <v>27</v>
      </c>
      <c r="F12" s="460">
        <v>625</v>
      </c>
      <c r="G12" s="460">
        <v>307</v>
      </c>
      <c r="H12" s="460">
        <v>1145</v>
      </c>
      <c r="I12" s="460">
        <v>587</v>
      </c>
      <c r="J12" s="460">
        <v>1054</v>
      </c>
      <c r="K12" s="460">
        <v>498</v>
      </c>
      <c r="L12" s="460">
        <v>985</v>
      </c>
      <c r="M12" s="460">
        <v>462</v>
      </c>
      <c r="N12" s="460">
        <v>27</v>
      </c>
      <c r="O12" s="460">
        <v>10</v>
      </c>
      <c r="P12" s="460">
        <v>3883</v>
      </c>
      <c r="Q12" s="460">
        <v>1891</v>
      </c>
      <c r="R12" s="461">
        <v>133</v>
      </c>
    </row>
    <row r="13" spans="1:18" s="448" customFormat="1" ht="21.75" customHeight="1">
      <c r="A13" s="462" t="s">
        <v>980</v>
      </c>
      <c r="B13" s="236" t="s">
        <v>981</v>
      </c>
      <c r="C13" s="459" t="s">
        <v>965</v>
      </c>
      <c r="D13" s="458">
        <v>2</v>
      </c>
      <c r="E13" s="458">
        <v>2</v>
      </c>
      <c r="F13" s="458">
        <v>66</v>
      </c>
      <c r="G13" s="458">
        <v>34</v>
      </c>
      <c r="H13" s="458">
        <v>181</v>
      </c>
      <c r="I13" s="458">
        <v>95</v>
      </c>
      <c r="J13" s="458">
        <v>155</v>
      </c>
      <c r="K13" s="458">
        <v>78</v>
      </c>
      <c r="L13" s="458">
        <v>203</v>
      </c>
      <c r="M13" s="458">
        <v>92</v>
      </c>
      <c r="N13" s="458">
        <v>0</v>
      </c>
      <c r="O13" s="458">
        <v>0</v>
      </c>
      <c r="P13" s="463">
        <v>607</v>
      </c>
      <c r="Q13" s="463">
        <v>301</v>
      </c>
      <c r="R13" s="97" t="s">
        <v>982</v>
      </c>
    </row>
    <row r="14" spans="1:18" s="448" customFormat="1" ht="14.25" customHeight="1">
      <c r="A14" s="1780" t="s">
        <v>983</v>
      </c>
      <c r="B14" s="1781"/>
      <c r="C14" s="459" t="s">
        <v>966</v>
      </c>
      <c r="D14" s="464">
        <v>42</v>
      </c>
      <c r="E14" s="464">
        <v>23</v>
      </c>
      <c r="F14" s="464">
        <v>555</v>
      </c>
      <c r="G14" s="464">
        <v>269</v>
      </c>
      <c r="H14" s="464">
        <v>994</v>
      </c>
      <c r="I14" s="464">
        <v>515</v>
      </c>
      <c r="J14" s="464">
        <v>899</v>
      </c>
      <c r="K14" s="464">
        <v>421</v>
      </c>
      <c r="L14" s="464">
        <v>869</v>
      </c>
      <c r="M14" s="464">
        <v>412</v>
      </c>
      <c r="N14" s="464">
        <v>25</v>
      </c>
      <c r="O14" s="464">
        <v>9</v>
      </c>
      <c r="P14" s="464">
        <v>3384</v>
      </c>
      <c r="Q14" s="464">
        <v>1649</v>
      </c>
      <c r="R14" s="464">
        <v>113</v>
      </c>
    </row>
    <row r="15" spans="1:18" s="448" customFormat="1" ht="23.25" customHeight="1">
      <c r="A15" s="1785" t="s">
        <v>984</v>
      </c>
      <c r="B15" s="236" t="s">
        <v>985</v>
      </c>
      <c r="C15" s="459" t="s">
        <v>967</v>
      </c>
      <c r="D15" s="458">
        <v>0</v>
      </c>
      <c r="E15" s="458">
        <v>0</v>
      </c>
      <c r="F15" s="458">
        <v>0</v>
      </c>
      <c r="G15" s="458">
        <v>0</v>
      </c>
      <c r="H15" s="458">
        <v>0</v>
      </c>
      <c r="I15" s="458">
        <v>0</v>
      </c>
      <c r="J15" s="458">
        <v>0</v>
      </c>
      <c r="K15" s="458">
        <v>0</v>
      </c>
      <c r="L15" s="458">
        <v>0</v>
      </c>
      <c r="M15" s="458">
        <v>0</v>
      </c>
      <c r="N15" s="458">
        <v>0</v>
      </c>
      <c r="O15" s="458">
        <v>0</v>
      </c>
      <c r="P15" s="463">
        <v>0</v>
      </c>
      <c r="Q15" s="463">
        <v>0</v>
      </c>
      <c r="R15" s="458">
        <v>0</v>
      </c>
    </row>
    <row r="16" spans="1:18" s="448" customFormat="1" ht="15" customHeight="1">
      <c r="A16" s="1785"/>
      <c r="B16" s="236" t="s">
        <v>986</v>
      </c>
      <c r="C16" s="459" t="s">
        <v>968</v>
      </c>
      <c r="D16" s="458">
        <v>24</v>
      </c>
      <c r="E16" s="458">
        <v>15</v>
      </c>
      <c r="F16" s="458">
        <v>465</v>
      </c>
      <c r="G16" s="458">
        <v>231</v>
      </c>
      <c r="H16" s="458">
        <v>117</v>
      </c>
      <c r="I16" s="458">
        <v>59</v>
      </c>
      <c r="J16" s="458">
        <v>0</v>
      </c>
      <c r="K16" s="458">
        <v>0</v>
      </c>
      <c r="L16" s="458">
        <v>0</v>
      </c>
      <c r="M16" s="458">
        <v>0</v>
      </c>
      <c r="N16" s="458">
        <v>0</v>
      </c>
      <c r="O16" s="458">
        <v>0</v>
      </c>
      <c r="P16" s="463">
        <v>606</v>
      </c>
      <c r="Q16" s="463">
        <v>305</v>
      </c>
      <c r="R16" s="458">
        <v>23</v>
      </c>
    </row>
    <row r="17" spans="1:18" s="448" customFormat="1" ht="15" customHeight="1">
      <c r="A17" s="1785"/>
      <c r="B17" s="236" t="s">
        <v>987</v>
      </c>
      <c r="C17" s="459" t="s">
        <v>969</v>
      </c>
      <c r="D17" s="458">
        <v>8</v>
      </c>
      <c r="E17" s="458">
        <v>3</v>
      </c>
      <c r="F17" s="458">
        <v>58</v>
      </c>
      <c r="G17" s="458">
        <v>27</v>
      </c>
      <c r="H17" s="458">
        <v>763</v>
      </c>
      <c r="I17" s="458">
        <v>394</v>
      </c>
      <c r="J17" s="458">
        <v>81</v>
      </c>
      <c r="K17" s="458">
        <v>37</v>
      </c>
      <c r="L17" s="458">
        <v>0</v>
      </c>
      <c r="M17" s="458">
        <v>0</v>
      </c>
      <c r="N17" s="458">
        <v>0</v>
      </c>
      <c r="O17" s="458">
        <v>0</v>
      </c>
      <c r="P17" s="463">
        <v>910</v>
      </c>
      <c r="Q17" s="463">
        <v>461</v>
      </c>
      <c r="R17" s="458">
        <v>32</v>
      </c>
    </row>
    <row r="18" spans="1:18" s="448" customFormat="1" ht="15" customHeight="1">
      <c r="A18" s="1785"/>
      <c r="B18" s="236" t="s">
        <v>988</v>
      </c>
      <c r="C18" s="459" t="s">
        <v>970</v>
      </c>
      <c r="D18" s="458">
        <v>0</v>
      </c>
      <c r="E18" s="458">
        <v>0</v>
      </c>
      <c r="F18" s="458">
        <v>0</v>
      </c>
      <c r="G18" s="458">
        <v>0</v>
      </c>
      <c r="H18" s="458">
        <v>53</v>
      </c>
      <c r="I18" s="458">
        <v>32</v>
      </c>
      <c r="J18" s="458">
        <v>611</v>
      </c>
      <c r="K18" s="458">
        <v>289</v>
      </c>
      <c r="L18" s="458">
        <v>40</v>
      </c>
      <c r="M18" s="458">
        <v>18</v>
      </c>
      <c r="N18" s="458">
        <v>0</v>
      </c>
      <c r="O18" s="458">
        <v>0</v>
      </c>
      <c r="P18" s="463">
        <v>704</v>
      </c>
      <c r="Q18" s="463">
        <v>339</v>
      </c>
      <c r="R18" s="458">
        <v>20</v>
      </c>
    </row>
    <row r="19" spans="1:18" s="448" customFormat="1" ht="11.25" customHeight="1">
      <c r="A19" s="1785"/>
      <c r="B19" s="236" t="s">
        <v>913</v>
      </c>
      <c r="C19" s="459" t="s">
        <v>971</v>
      </c>
      <c r="D19" s="458">
        <v>0</v>
      </c>
      <c r="E19" s="458">
        <v>0</v>
      </c>
      <c r="F19" s="458">
        <v>0</v>
      </c>
      <c r="G19" s="458">
        <v>0</v>
      </c>
      <c r="H19" s="458">
        <v>0</v>
      </c>
      <c r="I19" s="458">
        <v>0</v>
      </c>
      <c r="J19" s="458">
        <v>167</v>
      </c>
      <c r="K19" s="458">
        <v>77</v>
      </c>
      <c r="L19" s="458">
        <v>794</v>
      </c>
      <c r="M19" s="458">
        <v>374</v>
      </c>
      <c r="N19" s="458">
        <v>25</v>
      </c>
      <c r="O19" s="458">
        <v>9</v>
      </c>
      <c r="P19" s="463">
        <v>986</v>
      </c>
      <c r="Q19" s="463">
        <v>460</v>
      </c>
      <c r="R19" s="458">
        <v>31</v>
      </c>
    </row>
    <row r="20" spans="1:18" s="448" customFormat="1" ht="11.25" customHeight="1">
      <c r="A20" s="1785"/>
      <c r="B20" s="236" t="s">
        <v>989</v>
      </c>
      <c r="C20" s="459" t="s">
        <v>972</v>
      </c>
      <c r="D20" s="458">
        <v>10</v>
      </c>
      <c r="E20" s="458">
        <v>5</v>
      </c>
      <c r="F20" s="458">
        <v>32</v>
      </c>
      <c r="G20" s="458">
        <v>11</v>
      </c>
      <c r="H20" s="458">
        <v>61</v>
      </c>
      <c r="I20" s="458">
        <v>30</v>
      </c>
      <c r="J20" s="458">
        <v>40</v>
      </c>
      <c r="K20" s="458">
        <v>18</v>
      </c>
      <c r="L20" s="458">
        <v>35</v>
      </c>
      <c r="M20" s="458">
        <v>20</v>
      </c>
      <c r="N20" s="458">
        <v>0</v>
      </c>
      <c r="O20" s="458">
        <v>0</v>
      </c>
      <c r="P20" s="463">
        <v>178</v>
      </c>
      <c r="Q20" s="463">
        <v>84</v>
      </c>
      <c r="R20" s="458">
        <v>7</v>
      </c>
    </row>
    <row r="21" spans="1:18" s="448" customFormat="1" ht="11.25" customHeight="1">
      <c r="A21" s="1750" t="s">
        <v>990</v>
      </c>
      <c r="B21" s="1752"/>
      <c r="C21" s="459" t="s">
        <v>973</v>
      </c>
      <c r="D21" s="458">
        <v>32</v>
      </c>
      <c r="E21" s="458">
        <v>17</v>
      </c>
      <c r="F21" s="458">
        <v>344</v>
      </c>
      <c r="G21" s="458">
        <v>170</v>
      </c>
      <c r="H21" s="458">
        <v>227</v>
      </c>
      <c r="I21" s="458">
        <v>107</v>
      </c>
      <c r="J21" s="458">
        <v>131</v>
      </c>
      <c r="K21" s="458">
        <v>72</v>
      </c>
      <c r="L21" s="458">
        <v>132</v>
      </c>
      <c r="M21" s="458">
        <v>66</v>
      </c>
      <c r="N21" s="458">
        <v>0</v>
      </c>
      <c r="O21" s="458">
        <v>0</v>
      </c>
      <c r="P21" s="463">
        <v>866</v>
      </c>
      <c r="Q21" s="463">
        <v>432</v>
      </c>
      <c r="R21" s="97" t="s">
        <v>982</v>
      </c>
    </row>
    <row r="22" spans="1:18" s="453" customFormat="1" ht="11.25" customHeight="1">
      <c r="A22" s="1750" t="s">
        <v>991</v>
      </c>
      <c r="B22" s="1752"/>
      <c r="C22" s="459" t="s">
        <v>974</v>
      </c>
      <c r="D22" s="458">
        <v>0</v>
      </c>
      <c r="E22" s="458">
        <v>0</v>
      </c>
      <c r="F22" s="458">
        <v>0</v>
      </c>
      <c r="G22" s="458">
        <v>0</v>
      </c>
      <c r="H22" s="458">
        <v>0</v>
      </c>
      <c r="I22" s="458">
        <v>0</v>
      </c>
      <c r="J22" s="458">
        <v>0</v>
      </c>
      <c r="K22" s="458">
        <v>0</v>
      </c>
      <c r="L22" s="458">
        <v>1</v>
      </c>
      <c r="M22" s="458">
        <v>1</v>
      </c>
      <c r="N22" s="458">
        <v>0</v>
      </c>
      <c r="O22" s="458">
        <v>0</v>
      </c>
      <c r="P22" s="463">
        <v>1</v>
      </c>
      <c r="Q22" s="463">
        <v>1</v>
      </c>
      <c r="R22" s="97" t="s">
        <v>982</v>
      </c>
    </row>
    <row r="23" spans="1:18" ht="12.75" customHeight="1">
      <c r="A23" s="392" t="s">
        <v>992</v>
      </c>
      <c r="B23" s="465"/>
      <c r="C23" s="459">
        <v>12</v>
      </c>
      <c r="D23" s="458">
        <v>0</v>
      </c>
      <c r="E23" s="458">
        <v>0</v>
      </c>
      <c r="F23" s="458">
        <v>0</v>
      </c>
      <c r="G23" s="458">
        <v>0</v>
      </c>
      <c r="H23" s="458">
        <v>0</v>
      </c>
      <c r="I23" s="458">
        <v>0</v>
      </c>
      <c r="J23" s="458">
        <v>1</v>
      </c>
      <c r="K23" s="458">
        <v>0</v>
      </c>
      <c r="L23" s="458">
        <v>1</v>
      </c>
      <c r="M23" s="458">
        <v>1</v>
      </c>
      <c r="N23" s="458">
        <v>1</v>
      </c>
      <c r="O23" s="458">
        <v>1</v>
      </c>
      <c r="P23" s="463">
        <v>3</v>
      </c>
      <c r="Q23" s="463">
        <v>2</v>
      </c>
      <c r="R23" s="97" t="s">
        <v>982</v>
      </c>
    </row>
    <row r="24" spans="1:18" ht="18" customHeight="1">
      <c r="A24" s="392" t="s">
        <v>993</v>
      </c>
      <c r="B24" s="385"/>
      <c r="C24" s="459">
        <v>13</v>
      </c>
      <c r="D24" s="466">
        <v>0</v>
      </c>
      <c r="E24" s="466">
        <v>0</v>
      </c>
      <c r="F24" s="466">
        <v>3</v>
      </c>
      <c r="G24" s="466">
        <v>2</v>
      </c>
      <c r="H24" s="466">
        <v>4</v>
      </c>
      <c r="I24" s="466">
        <v>1</v>
      </c>
      <c r="J24" s="466">
        <v>4</v>
      </c>
      <c r="K24" s="466">
        <v>1</v>
      </c>
      <c r="L24" s="466">
        <v>11</v>
      </c>
      <c r="M24" s="466">
        <v>8</v>
      </c>
      <c r="N24" s="466">
        <v>0</v>
      </c>
      <c r="O24" s="466">
        <v>0</v>
      </c>
      <c r="P24" s="466">
        <v>22</v>
      </c>
      <c r="Q24" s="466">
        <v>12</v>
      </c>
      <c r="R24" s="97" t="s">
        <v>982</v>
      </c>
    </row>
    <row r="25" spans="1:18" ht="31.5" customHeight="1">
      <c r="A25" s="1758" t="s">
        <v>980</v>
      </c>
      <c r="B25" s="393" t="s">
        <v>994</v>
      </c>
      <c r="C25" s="459">
        <v>14</v>
      </c>
      <c r="D25" s="458">
        <v>0</v>
      </c>
      <c r="E25" s="458">
        <v>0</v>
      </c>
      <c r="F25" s="458">
        <v>1</v>
      </c>
      <c r="G25" s="458">
        <v>0</v>
      </c>
      <c r="H25" s="458">
        <v>1</v>
      </c>
      <c r="I25" s="458">
        <v>0</v>
      </c>
      <c r="J25" s="458">
        <v>2</v>
      </c>
      <c r="K25" s="458">
        <v>1</v>
      </c>
      <c r="L25" s="458">
        <v>5</v>
      </c>
      <c r="M25" s="458">
        <v>4</v>
      </c>
      <c r="N25" s="458">
        <v>0</v>
      </c>
      <c r="O25" s="458">
        <v>0</v>
      </c>
      <c r="P25" s="463">
        <v>9</v>
      </c>
      <c r="Q25" s="463">
        <v>5</v>
      </c>
      <c r="R25" s="97" t="s">
        <v>982</v>
      </c>
    </row>
    <row r="26" spans="1:18" ht="17.25" customHeight="1">
      <c r="A26" s="1758"/>
      <c r="B26" s="393" t="s">
        <v>995</v>
      </c>
      <c r="C26" s="459">
        <v>15</v>
      </c>
      <c r="D26" s="458">
        <v>0</v>
      </c>
      <c r="E26" s="458">
        <v>0</v>
      </c>
      <c r="F26" s="458">
        <v>0</v>
      </c>
      <c r="G26" s="458">
        <v>0</v>
      </c>
      <c r="H26" s="458">
        <v>0</v>
      </c>
      <c r="I26" s="458">
        <v>0</v>
      </c>
      <c r="J26" s="458">
        <v>0</v>
      </c>
      <c r="K26" s="458">
        <v>0</v>
      </c>
      <c r="L26" s="458">
        <v>0</v>
      </c>
      <c r="M26" s="458">
        <v>0</v>
      </c>
      <c r="N26" s="458">
        <v>0</v>
      </c>
      <c r="O26" s="458">
        <v>0</v>
      </c>
      <c r="P26" s="463">
        <v>0</v>
      </c>
      <c r="Q26" s="463">
        <v>0</v>
      </c>
      <c r="R26" s="97" t="s">
        <v>982</v>
      </c>
    </row>
    <row r="27" spans="1:18" ht="27" customHeight="1">
      <c r="A27" s="1758"/>
      <c r="B27" s="393" t="s">
        <v>996</v>
      </c>
      <c r="C27" s="459">
        <v>16</v>
      </c>
      <c r="D27" s="458">
        <v>0</v>
      </c>
      <c r="E27" s="458">
        <v>0</v>
      </c>
      <c r="F27" s="458">
        <v>0</v>
      </c>
      <c r="G27" s="458">
        <v>0</v>
      </c>
      <c r="H27" s="458">
        <v>1</v>
      </c>
      <c r="I27" s="458">
        <v>1</v>
      </c>
      <c r="J27" s="458">
        <v>0</v>
      </c>
      <c r="K27" s="458">
        <v>0</v>
      </c>
      <c r="L27" s="458">
        <v>2</v>
      </c>
      <c r="M27" s="458">
        <v>1</v>
      </c>
      <c r="N27" s="458">
        <v>0</v>
      </c>
      <c r="O27" s="458">
        <v>0</v>
      </c>
      <c r="P27" s="463">
        <v>3</v>
      </c>
      <c r="Q27" s="463">
        <v>2</v>
      </c>
      <c r="R27" s="97" t="s">
        <v>982</v>
      </c>
    </row>
    <row r="28" spans="1:18" ht="23.25" customHeight="1">
      <c r="A28" s="1758"/>
      <c r="B28" s="393" t="s">
        <v>997</v>
      </c>
      <c r="C28" s="459">
        <v>17</v>
      </c>
      <c r="D28" s="458">
        <v>0</v>
      </c>
      <c r="E28" s="458">
        <v>0</v>
      </c>
      <c r="F28" s="458">
        <v>0</v>
      </c>
      <c r="G28" s="458">
        <v>0</v>
      </c>
      <c r="H28" s="458">
        <v>0</v>
      </c>
      <c r="I28" s="458">
        <v>0</v>
      </c>
      <c r="J28" s="458">
        <v>1</v>
      </c>
      <c r="K28" s="458">
        <v>0</v>
      </c>
      <c r="L28" s="458">
        <v>0</v>
      </c>
      <c r="M28" s="458">
        <v>0</v>
      </c>
      <c r="N28" s="458">
        <v>0</v>
      </c>
      <c r="O28" s="458">
        <v>0</v>
      </c>
      <c r="P28" s="463">
        <v>1</v>
      </c>
      <c r="Q28" s="463">
        <v>0</v>
      </c>
      <c r="R28" s="97" t="s">
        <v>982</v>
      </c>
    </row>
    <row r="29" spans="1:18" ht="15" customHeight="1">
      <c r="A29" s="1758"/>
      <c r="B29" s="393" t="s">
        <v>998</v>
      </c>
      <c r="C29" s="459">
        <v>18</v>
      </c>
      <c r="D29" s="458">
        <v>0</v>
      </c>
      <c r="E29" s="458">
        <v>0</v>
      </c>
      <c r="F29" s="458">
        <v>2</v>
      </c>
      <c r="G29" s="458">
        <v>2</v>
      </c>
      <c r="H29" s="458">
        <v>1</v>
      </c>
      <c r="I29" s="458">
        <v>0</v>
      </c>
      <c r="J29" s="458">
        <v>0</v>
      </c>
      <c r="K29" s="458">
        <v>0</v>
      </c>
      <c r="L29" s="458">
        <v>4</v>
      </c>
      <c r="M29" s="458">
        <v>3</v>
      </c>
      <c r="N29" s="458">
        <v>0</v>
      </c>
      <c r="O29" s="458">
        <v>0</v>
      </c>
      <c r="P29" s="463">
        <v>7</v>
      </c>
      <c r="Q29" s="463">
        <v>5</v>
      </c>
      <c r="R29" s="97" t="s">
        <v>982</v>
      </c>
    </row>
    <row r="30" spans="1:18" ht="15" customHeight="1">
      <c r="A30" s="1758"/>
      <c r="B30" s="388" t="s">
        <v>999</v>
      </c>
      <c r="C30" s="459">
        <v>19</v>
      </c>
      <c r="D30" s="458">
        <v>0</v>
      </c>
      <c r="E30" s="458">
        <v>0</v>
      </c>
      <c r="F30" s="458">
        <v>0</v>
      </c>
      <c r="G30" s="458">
        <v>0</v>
      </c>
      <c r="H30" s="458">
        <v>1</v>
      </c>
      <c r="I30" s="458">
        <v>0</v>
      </c>
      <c r="J30" s="458">
        <v>1</v>
      </c>
      <c r="K30" s="458">
        <v>0</v>
      </c>
      <c r="L30" s="458">
        <v>0</v>
      </c>
      <c r="M30" s="458">
        <v>0</v>
      </c>
      <c r="N30" s="458">
        <v>0</v>
      </c>
      <c r="O30" s="458">
        <v>0</v>
      </c>
      <c r="P30" s="463">
        <v>2</v>
      </c>
      <c r="Q30" s="463">
        <v>0</v>
      </c>
      <c r="R30" s="97" t="s">
        <v>982</v>
      </c>
    </row>
    <row r="31" spans="1:18" ht="15" customHeight="1">
      <c r="A31" s="1780" t="s">
        <v>1000</v>
      </c>
      <c r="B31" s="1781"/>
      <c r="C31" s="459">
        <v>20</v>
      </c>
      <c r="D31" s="464">
        <v>5</v>
      </c>
      <c r="E31" s="464">
        <v>4</v>
      </c>
      <c r="F31" s="464">
        <v>70</v>
      </c>
      <c r="G31" s="464">
        <v>38</v>
      </c>
      <c r="H31" s="464">
        <v>151</v>
      </c>
      <c r="I31" s="464">
        <v>72</v>
      </c>
      <c r="J31" s="464">
        <v>155</v>
      </c>
      <c r="K31" s="464">
        <v>77</v>
      </c>
      <c r="L31" s="464">
        <v>116</v>
      </c>
      <c r="M31" s="464">
        <v>50</v>
      </c>
      <c r="N31" s="464">
        <v>2</v>
      </c>
      <c r="O31" s="464">
        <v>1</v>
      </c>
      <c r="P31" s="464">
        <v>499</v>
      </c>
      <c r="Q31" s="464">
        <v>242</v>
      </c>
      <c r="R31" s="464">
        <v>20</v>
      </c>
    </row>
    <row r="32" spans="1:18" ht="15" customHeight="1">
      <c r="A32" s="1782" t="s">
        <v>984</v>
      </c>
      <c r="B32" s="467" t="s">
        <v>1001</v>
      </c>
      <c r="C32" s="459">
        <v>21</v>
      </c>
      <c r="D32" s="458">
        <v>0</v>
      </c>
      <c r="E32" s="458">
        <v>0</v>
      </c>
      <c r="F32" s="458">
        <v>0</v>
      </c>
      <c r="G32" s="458">
        <v>0</v>
      </c>
      <c r="H32" s="458">
        <v>26</v>
      </c>
      <c r="I32" s="458">
        <v>11</v>
      </c>
      <c r="J32" s="458">
        <v>54</v>
      </c>
      <c r="K32" s="458">
        <v>29</v>
      </c>
      <c r="L32" s="458">
        <v>50</v>
      </c>
      <c r="M32" s="458">
        <v>17</v>
      </c>
      <c r="N32" s="458">
        <v>0</v>
      </c>
      <c r="O32" s="458">
        <v>0</v>
      </c>
      <c r="P32" s="463">
        <v>130</v>
      </c>
      <c r="Q32" s="463">
        <v>57</v>
      </c>
      <c r="R32" s="458">
        <v>7</v>
      </c>
    </row>
    <row r="33" spans="1:33" ht="15" customHeight="1">
      <c r="A33" s="1783"/>
      <c r="B33" s="467" t="s">
        <v>1002</v>
      </c>
      <c r="C33" s="459">
        <v>22</v>
      </c>
      <c r="D33" s="458">
        <v>5</v>
      </c>
      <c r="E33" s="458">
        <v>4</v>
      </c>
      <c r="F33" s="458">
        <v>64</v>
      </c>
      <c r="G33" s="458">
        <v>35</v>
      </c>
      <c r="H33" s="458">
        <v>110</v>
      </c>
      <c r="I33" s="458">
        <v>51</v>
      </c>
      <c r="J33" s="458">
        <v>90</v>
      </c>
      <c r="K33" s="458">
        <v>41</v>
      </c>
      <c r="L33" s="458">
        <v>56</v>
      </c>
      <c r="M33" s="458">
        <v>28</v>
      </c>
      <c r="N33" s="458">
        <v>2</v>
      </c>
      <c r="O33" s="458">
        <v>1</v>
      </c>
      <c r="P33" s="463">
        <v>327</v>
      </c>
      <c r="Q33" s="463">
        <v>160</v>
      </c>
      <c r="R33" s="458">
        <v>13</v>
      </c>
    </row>
    <row r="34" spans="1:33" ht="15" customHeight="1">
      <c r="A34" s="1784"/>
      <c r="B34" s="467" t="s">
        <v>1003</v>
      </c>
      <c r="C34" s="459">
        <v>23</v>
      </c>
      <c r="D34" s="458">
        <v>0</v>
      </c>
      <c r="E34" s="458">
        <v>0</v>
      </c>
      <c r="F34" s="458">
        <v>6</v>
      </c>
      <c r="G34" s="458">
        <v>3</v>
      </c>
      <c r="H34" s="458">
        <v>15</v>
      </c>
      <c r="I34" s="458">
        <v>10</v>
      </c>
      <c r="J34" s="458">
        <v>11</v>
      </c>
      <c r="K34" s="458">
        <v>7</v>
      </c>
      <c r="L34" s="458">
        <v>10</v>
      </c>
      <c r="M34" s="458">
        <v>5</v>
      </c>
      <c r="N34" s="458">
        <v>0</v>
      </c>
      <c r="O34" s="458">
        <v>0</v>
      </c>
      <c r="P34" s="463">
        <v>42</v>
      </c>
      <c r="Q34" s="463">
        <v>25</v>
      </c>
      <c r="R34" s="97" t="s">
        <v>982</v>
      </c>
    </row>
    <row r="35" spans="1:33" ht="15" customHeight="1">
      <c r="A35" s="390"/>
      <c r="B35" s="390"/>
      <c r="C35" s="468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</row>
    <row r="36" spans="1:33" ht="15" customHeight="1">
      <c r="A36" s="1657"/>
      <c r="B36" s="1657"/>
      <c r="C36" s="469"/>
      <c r="D36" s="469"/>
    </row>
    <row r="37" spans="1:33" ht="15" customHeight="1">
      <c r="C37" s="469"/>
    </row>
    <row r="38" spans="1:33" ht="15" customHeight="1">
      <c r="A38" s="448"/>
      <c r="B38" s="448"/>
      <c r="D38" s="469"/>
      <c r="G38" s="448"/>
      <c r="Q38" s="448"/>
    </row>
    <row r="39" spans="1:33" ht="15" customHeight="1">
      <c r="A39" s="99"/>
      <c r="B39" s="99"/>
      <c r="C39" s="99"/>
      <c r="D39" s="99"/>
      <c r="E39" s="99"/>
      <c r="F39" s="99"/>
      <c r="G39" s="99"/>
      <c r="H39" s="99"/>
      <c r="I39" s="292"/>
      <c r="J39" s="390"/>
      <c r="K39" s="390"/>
      <c r="L39" s="390"/>
      <c r="M39" s="390"/>
      <c r="N39" s="390"/>
      <c r="O39" s="390"/>
      <c r="P39" s="390"/>
      <c r="Q39" s="390"/>
      <c r="S39" s="470"/>
      <c r="T39" s="468"/>
      <c r="U39" s="468"/>
      <c r="V39" s="468"/>
      <c r="W39" s="468"/>
      <c r="X39" s="468"/>
      <c r="AC39" s="471"/>
      <c r="AD39" s="390"/>
      <c r="AE39" s="390"/>
      <c r="AF39" s="390"/>
      <c r="AG39" s="390"/>
    </row>
    <row r="40" spans="1:33" ht="15" customHeight="1">
      <c r="A40" s="99"/>
      <c r="B40" s="99"/>
      <c r="C40" s="99"/>
      <c r="D40" s="99"/>
      <c r="E40" s="99"/>
      <c r="F40" s="99"/>
      <c r="G40" s="99"/>
      <c r="H40" s="99"/>
      <c r="I40" s="292"/>
      <c r="J40" s="390"/>
      <c r="K40" s="390"/>
      <c r="L40" s="390"/>
      <c r="M40" s="390"/>
      <c r="N40" s="390"/>
      <c r="O40" s="390"/>
      <c r="P40" s="390"/>
      <c r="Q40" s="390"/>
      <c r="S40" s="470"/>
      <c r="T40" s="468"/>
      <c r="U40" s="468"/>
      <c r="V40" s="468"/>
      <c r="W40" s="468"/>
      <c r="X40" s="468"/>
      <c r="AC40" s="471"/>
      <c r="AD40" s="390"/>
      <c r="AE40" s="390"/>
      <c r="AF40" s="390"/>
      <c r="AG40" s="390"/>
    </row>
    <row r="41" spans="1:33" ht="15" customHeight="1">
      <c r="A41" s="99"/>
      <c r="B41" s="99"/>
      <c r="C41" s="99"/>
      <c r="D41" s="99"/>
      <c r="E41" s="99"/>
      <c r="F41" s="99"/>
      <c r="G41" s="99"/>
      <c r="H41" s="99"/>
      <c r="I41" s="292"/>
      <c r="K41" s="99"/>
      <c r="L41" s="99"/>
      <c r="M41" s="99"/>
      <c r="N41" s="99"/>
      <c r="S41" s="470"/>
      <c r="T41" s="468"/>
      <c r="U41" s="468"/>
      <c r="V41" s="468"/>
      <c r="W41" s="468"/>
      <c r="X41" s="468"/>
      <c r="AC41" s="471"/>
      <c r="AD41" s="390"/>
      <c r="AE41" s="390"/>
      <c r="AF41" s="390"/>
      <c r="AG41" s="390"/>
    </row>
    <row r="42" spans="1:33" ht="15" customHeight="1">
      <c r="A42" s="99"/>
      <c r="B42" s="99"/>
      <c r="C42" s="292"/>
      <c r="D42" s="292"/>
      <c r="E42" s="292"/>
      <c r="F42" s="99"/>
      <c r="G42" s="99"/>
      <c r="H42" s="99"/>
      <c r="I42" s="99"/>
      <c r="M42" s="99"/>
      <c r="S42" s="470"/>
      <c r="T42" s="468"/>
      <c r="U42" s="468"/>
      <c r="V42" s="468"/>
      <c r="W42" s="468"/>
      <c r="X42" s="468"/>
      <c r="AC42" s="471"/>
      <c r="AD42" s="390"/>
      <c r="AE42" s="390"/>
      <c r="AF42" s="390"/>
      <c r="AG42" s="390"/>
    </row>
    <row r="43" spans="1:33" ht="15" customHeight="1">
      <c r="A43" s="99"/>
      <c r="B43" s="292"/>
      <c r="C43" s="99"/>
      <c r="D43" s="99"/>
      <c r="E43" s="99"/>
      <c r="F43" s="292"/>
      <c r="G43" s="292"/>
      <c r="H43" s="292"/>
      <c r="S43" s="470"/>
      <c r="T43" s="468"/>
      <c r="U43" s="468"/>
      <c r="V43" s="468"/>
      <c r="W43" s="468"/>
      <c r="X43" s="468"/>
      <c r="AC43" s="471"/>
      <c r="AD43" s="390"/>
      <c r="AE43" s="390"/>
      <c r="AF43" s="390"/>
      <c r="AG43" s="390"/>
    </row>
    <row r="44" spans="1:33" ht="15" customHeight="1">
      <c r="A44" s="99"/>
      <c r="B44" s="292"/>
      <c r="C44" s="99"/>
      <c r="D44" s="99"/>
      <c r="E44" s="99"/>
      <c r="F44" s="292"/>
      <c r="G44" s="292"/>
      <c r="H44" s="292"/>
      <c r="I44" s="448"/>
      <c r="J44" s="448"/>
      <c r="K44" s="448"/>
      <c r="L44" s="448"/>
      <c r="M44" s="448"/>
      <c r="N44" s="448"/>
      <c r="O44" s="448"/>
      <c r="P44" s="448"/>
      <c r="Q44" s="448"/>
      <c r="S44" s="470"/>
      <c r="T44" s="468"/>
      <c r="U44" s="468"/>
      <c r="V44" s="468"/>
      <c r="W44" s="468"/>
      <c r="X44" s="468"/>
      <c r="AC44" s="471"/>
      <c r="AD44" s="390"/>
      <c r="AE44" s="390"/>
      <c r="AF44" s="390"/>
      <c r="AG44" s="390"/>
    </row>
    <row r="45" spans="1:33" ht="15" customHeight="1">
      <c r="A45" s="99"/>
      <c r="B45" s="292"/>
      <c r="C45" s="292"/>
      <c r="D45" s="292"/>
      <c r="S45" s="470"/>
      <c r="T45" s="468"/>
      <c r="U45" s="468"/>
      <c r="V45" s="468"/>
      <c r="W45" s="468"/>
      <c r="X45" s="468"/>
      <c r="AC45" s="471"/>
      <c r="AD45" s="390"/>
      <c r="AE45" s="390"/>
      <c r="AF45" s="390"/>
      <c r="AG45" s="390"/>
    </row>
    <row r="46" spans="1:33" ht="15" customHeight="1">
      <c r="S46" s="390"/>
      <c r="T46" s="390"/>
      <c r="U46" s="390"/>
      <c r="V46" s="390"/>
      <c r="W46" s="390"/>
      <c r="X46" s="390"/>
      <c r="AB46" s="390"/>
      <c r="AC46" s="390"/>
      <c r="AD46" s="390"/>
      <c r="AE46" s="390"/>
      <c r="AF46" s="390"/>
      <c r="AG46" s="390"/>
    </row>
    <row r="47" spans="1:33" ht="15" customHeight="1">
      <c r="M47" s="390"/>
    </row>
    <row r="48" spans="1:33" ht="15" customHeight="1">
      <c r="M48" s="390"/>
    </row>
    <row r="49" spans="1:18" ht="15" customHeight="1">
      <c r="M49" s="390"/>
    </row>
    <row r="50" spans="1:18" ht="9" customHeight="1">
      <c r="M50" s="390"/>
    </row>
    <row r="51" spans="1:18">
      <c r="M51" s="390"/>
      <c r="R51" s="448"/>
    </row>
    <row r="52" spans="1:18">
      <c r="M52" s="390"/>
      <c r="R52" s="390"/>
    </row>
    <row r="53" spans="1:18" s="448" customFormat="1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390"/>
      <c r="N53" s="234"/>
      <c r="O53" s="234"/>
      <c r="P53" s="234"/>
      <c r="Q53" s="234"/>
      <c r="R53" s="390"/>
    </row>
    <row r="54" spans="1:18" s="390" customFormat="1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N54" s="234"/>
      <c r="O54" s="234"/>
      <c r="P54" s="234"/>
      <c r="Q54" s="234"/>
      <c r="R54" s="234"/>
    </row>
    <row r="55" spans="1:18" s="390" customFormat="1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N55" s="234"/>
      <c r="O55" s="234"/>
      <c r="P55" s="234"/>
      <c r="Q55" s="234"/>
      <c r="R55" s="234"/>
    </row>
    <row r="56" spans="1:18">
      <c r="M56" s="390"/>
    </row>
    <row r="57" spans="1:18" ht="26.25" customHeight="1">
      <c r="M57" s="390"/>
      <c r="R57" s="448"/>
    </row>
    <row r="58" spans="1:18">
      <c r="M58" s="390"/>
    </row>
    <row r="59" spans="1:18" s="448" customFormat="1" ht="32.25" customHeight="1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390"/>
      <c r="N59" s="234"/>
      <c r="O59" s="234"/>
      <c r="P59" s="234"/>
      <c r="Q59" s="234"/>
      <c r="R59" s="234"/>
    </row>
    <row r="60" spans="1:18" ht="20.25" customHeight="1">
      <c r="M60" s="390"/>
    </row>
    <row r="61" spans="1:18" ht="20.25" customHeight="1">
      <c r="M61" s="390"/>
    </row>
    <row r="62" spans="1:18" ht="20.25" customHeight="1">
      <c r="M62" s="390"/>
    </row>
    <row r="63" spans="1:18" ht="20.25" customHeight="1">
      <c r="M63" s="390"/>
    </row>
    <row r="64" spans="1:18" ht="20.25" customHeight="1">
      <c r="M64" s="390"/>
    </row>
    <row r="65" spans="13:13" ht="20.25" customHeight="1">
      <c r="M65" s="390"/>
    </row>
    <row r="66" spans="13:13" ht="20.25" customHeight="1">
      <c r="M66" s="390"/>
    </row>
    <row r="67" spans="13:13" ht="32.25" customHeight="1">
      <c r="M67" s="390"/>
    </row>
    <row r="68" spans="13:13" ht="24.75" customHeight="1">
      <c r="M68" s="390"/>
    </row>
    <row r="69" spans="13:13" ht="24.75" customHeight="1">
      <c r="M69" s="390"/>
    </row>
    <row r="70" spans="13:13">
      <c r="M70" s="390"/>
    </row>
  </sheetData>
  <mergeCells count="26">
    <mergeCell ref="B3:M3"/>
    <mergeCell ref="A25:A30"/>
    <mergeCell ref="A31:B31"/>
    <mergeCell ref="A32:A34"/>
    <mergeCell ref="A36:B36"/>
    <mergeCell ref="C5:K5"/>
    <mergeCell ref="A11:B11"/>
    <mergeCell ref="A12:B12"/>
    <mergeCell ref="A14:B14"/>
    <mergeCell ref="A15:A20"/>
    <mergeCell ref="A21:B21"/>
    <mergeCell ref="A22:B22"/>
    <mergeCell ref="D9:E9"/>
    <mergeCell ref="F9:G9"/>
    <mergeCell ref="H9:I9"/>
    <mergeCell ref="B4:L4"/>
    <mergeCell ref="R8:R10"/>
    <mergeCell ref="P8:P10"/>
    <mergeCell ref="Q8:Q10"/>
    <mergeCell ref="N9:O9"/>
    <mergeCell ref="A8:B10"/>
    <mergeCell ref="C8:C10"/>
    <mergeCell ref="D8:I8"/>
    <mergeCell ref="J8:O8"/>
    <mergeCell ref="J9:K9"/>
    <mergeCell ref="L9:M9"/>
  </mergeCells>
  <pageMargins left="0.7" right="0.7" top="0.75" bottom="0.75" header="0.3" footer="0.3"/>
  <pageSetup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41"/>
  <sheetViews>
    <sheetView workbookViewId="0">
      <selection activeCell="A2" sqref="A2:AA2"/>
    </sheetView>
  </sheetViews>
  <sheetFormatPr defaultRowHeight="11.25"/>
  <cols>
    <col min="1" max="1" width="7" style="473" customWidth="1"/>
    <col min="2" max="2" width="24.28515625" style="473" customWidth="1"/>
    <col min="3" max="3" width="4.42578125" style="473" customWidth="1"/>
    <col min="4" max="4" width="4.85546875" style="473" customWidth="1"/>
    <col min="5" max="5" width="4" style="473" customWidth="1"/>
    <col min="6" max="7" width="4" style="474" customWidth="1"/>
    <col min="8" max="8" width="4.85546875" style="474" customWidth="1"/>
    <col min="9" max="9" width="3.42578125" style="474" customWidth="1"/>
    <col min="10" max="10" width="4.140625" style="474" customWidth="1"/>
    <col min="11" max="18" width="3.5703125" style="474" customWidth="1"/>
    <col min="19" max="19" width="2.42578125" style="474" customWidth="1"/>
    <col min="20" max="25" width="3.5703125" style="474" customWidth="1"/>
    <col min="26" max="27" width="3.5703125" style="473" customWidth="1"/>
    <col min="28" max="16384" width="9.140625" style="473"/>
  </cols>
  <sheetData>
    <row r="1" spans="1:27">
      <c r="A1" s="472"/>
      <c r="C1" s="472"/>
      <c r="D1" s="472"/>
      <c r="E1" s="472"/>
      <c r="F1" s="472"/>
      <c r="G1" s="472"/>
      <c r="N1" s="472"/>
      <c r="O1" s="472"/>
      <c r="P1" s="472"/>
      <c r="Q1" s="472"/>
      <c r="U1" s="475" t="s">
        <v>907</v>
      </c>
      <c r="V1" s="475"/>
      <c r="W1" s="475"/>
      <c r="X1" s="475"/>
      <c r="Y1" s="475"/>
    </row>
    <row r="2" spans="1:27" ht="12.75" customHeight="1">
      <c r="A2" s="1786" t="s">
        <v>1577</v>
      </c>
      <c r="B2" s="1786"/>
      <c r="C2" s="1786"/>
      <c r="D2" s="1786"/>
      <c r="E2" s="1786"/>
      <c r="F2" s="1786"/>
      <c r="G2" s="1786"/>
      <c r="H2" s="1786"/>
      <c r="I2" s="1786"/>
      <c r="J2" s="1786"/>
      <c r="K2" s="1786"/>
      <c r="L2" s="1786"/>
      <c r="M2" s="1786"/>
      <c r="N2" s="1786"/>
      <c r="O2" s="1786"/>
      <c r="P2" s="1786"/>
      <c r="Q2" s="1786"/>
      <c r="R2" s="1786"/>
      <c r="S2" s="1786"/>
      <c r="T2" s="1786"/>
      <c r="U2" s="1786"/>
      <c r="V2" s="1786"/>
      <c r="W2" s="1786"/>
      <c r="X2" s="1786"/>
      <c r="Y2" s="1786"/>
      <c r="Z2" s="1786"/>
      <c r="AA2" s="1786"/>
    </row>
    <row r="3" spans="1:27" ht="11.25" customHeight="1">
      <c r="A3" s="1797" t="s">
        <v>1004</v>
      </c>
      <c r="B3" s="1797"/>
      <c r="C3" s="1797"/>
      <c r="D3" s="1797"/>
      <c r="E3" s="1797"/>
      <c r="F3" s="1797"/>
      <c r="G3" s="1797"/>
      <c r="H3" s="1797"/>
      <c r="I3" s="1797"/>
      <c r="J3" s="1797"/>
      <c r="K3" s="1797"/>
      <c r="L3" s="1797"/>
      <c r="M3" s="1797"/>
      <c r="N3" s="1797"/>
      <c r="O3" s="1797"/>
      <c r="P3" s="1797"/>
      <c r="Q3" s="1797"/>
      <c r="R3" s="1797"/>
      <c r="S3" s="1797"/>
      <c r="T3" s="1797"/>
      <c r="U3" s="1797"/>
      <c r="V3" s="1797"/>
      <c r="W3" s="1797"/>
      <c r="X3" s="1797"/>
      <c r="Y3" s="1797"/>
      <c r="Z3" s="1797"/>
      <c r="AA3" s="1797"/>
    </row>
    <row r="4" spans="1:27" ht="10.5" customHeight="1">
      <c r="A4" s="1798" t="s">
        <v>954</v>
      </c>
      <c r="B4" s="1798"/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8"/>
      <c r="S4" s="1798"/>
      <c r="T4" s="1798"/>
      <c r="U4" s="1798"/>
      <c r="V4" s="1798"/>
      <c r="W4" s="1798"/>
      <c r="X4" s="1798"/>
      <c r="Y4" s="1798"/>
      <c r="Z4" s="1798"/>
      <c r="AA4" s="1798"/>
    </row>
    <row r="5" spans="1:27">
      <c r="A5" s="1800" t="s">
        <v>908</v>
      </c>
      <c r="B5" s="1787" t="s">
        <v>909</v>
      </c>
      <c r="C5" s="1800" t="s">
        <v>910</v>
      </c>
      <c r="D5" s="1417" t="s">
        <v>1005</v>
      </c>
      <c r="E5" s="1417"/>
      <c r="F5" s="1789" t="s">
        <v>911</v>
      </c>
      <c r="G5" s="1789"/>
      <c r="H5" s="1789"/>
      <c r="I5" s="1789"/>
      <c r="J5" s="1789"/>
      <c r="K5" s="1789"/>
      <c r="L5" s="1789"/>
      <c r="M5" s="1789"/>
      <c r="N5" s="1789"/>
      <c r="O5" s="1789"/>
      <c r="P5" s="1789"/>
      <c r="Q5" s="1789"/>
      <c r="R5" s="1789"/>
      <c r="S5" s="1789"/>
      <c r="T5" s="1789" t="s">
        <v>912</v>
      </c>
      <c r="U5" s="1789"/>
      <c r="V5" s="1789"/>
      <c r="W5" s="1789"/>
      <c r="X5" s="1789"/>
      <c r="Y5" s="1789"/>
      <c r="Z5" s="1789"/>
      <c r="AA5" s="1789"/>
    </row>
    <row r="6" spans="1:27">
      <c r="A6" s="1801"/>
      <c r="B6" s="1803"/>
      <c r="C6" s="1801"/>
      <c r="D6" s="1417"/>
      <c r="E6" s="1417"/>
      <c r="F6" s="1789" t="s">
        <v>913</v>
      </c>
      <c r="G6" s="1789"/>
      <c r="H6" s="1789" t="s">
        <v>914</v>
      </c>
      <c r="I6" s="1789"/>
      <c r="J6" s="1789" t="s">
        <v>915</v>
      </c>
      <c r="K6" s="1789"/>
      <c r="L6" s="1789" t="s">
        <v>916</v>
      </c>
      <c r="M6" s="1789"/>
      <c r="N6" s="1789" t="s">
        <v>917</v>
      </c>
      <c r="O6" s="1789"/>
      <c r="P6" s="1789" t="s">
        <v>918</v>
      </c>
      <c r="Q6" s="1789"/>
      <c r="R6" s="1789" t="s">
        <v>919</v>
      </c>
      <c r="S6" s="1789"/>
      <c r="T6" s="1794" t="s">
        <v>661</v>
      </c>
      <c r="U6" s="1795"/>
      <c r="V6" s="1795"/>
      <c r="W6" s="1795"/>
      <c r="X6" s="1795"/>
      <c r="Y6" s="1796"/>
      <c r="Z6" s="1790" t="s">
        <v>662</v>
      </c>
      <c r="AA6" s="1791"/>
    </row>
    <row r="7" spans="1:27">
      <c r="A7" s="1801"/>
      <c r="B7" s="1803"/>
      <c r="C7" s="1801"/>
      <c r="D7" s="1787" t="s">
        <v>353</v>
      </c>
      <c r="E7" s="1787" t="s">
        <v>31</v>
      </c>
      <c r="F7" s="1787" t="s">
        <v>353</v>
      </c>
      <c r="G7" s="1787" t="s">
        <v>31</v>
      </c>
      <c r="H7" s="1787" t="s">
        <v>353</v>
      </c>
      <c r="I7" s="1787" t="s">
        <v>31</v>
      </c>
      <c r="J7" s="1787" t="s">
        <v>353</v>
      </c>
      <c r="K7" s="1787" t="s">
        <v>31</v>
      </c>
      <c r="L7" s="1787" t="s">
        <v>353</v>
      </c>
      <c r="M7" s="1787" t="s">
        <v>31</v>
      </c>
      <c r="N7" s="1787" t="s">
        <v>353</v>
      </c>
      <c r="O7" s="1787" t="s">
        <v>31</v>
      </c>
      <c r="P7" s="1787" t="s">
        <v>353</v>
      </c>
      <c r="Q7" s="1787" t="s">
        <v>31</v>
      </c>
      <c r="R7" s="1787" t="s">
        <v>353</v>
      </c>
      <c r="S7" s="1787" t="s">
        <v>31</v>
      </c>
      <c r="T7" s="1787" t="s">
        <v>353</v>
      </c>
      <c r="U7" s="1787" t="s">
        <v>31</v>
      </c>
      <c r="V7" s="1417" t="s">
        <v>920</v>
      </c>
      <c r="W7" s="1417"/>
      <c r="X7" s="1417"/>
      <c r="Y7" s="1417"/>
      <c r="Z7" s="1792"/>
      <c r="AA7" s="1793"/>
    </row>
    <row r="8" spans="1:27" ht="59.25" customHeight="1">
      <c r="A8" s="1802"/>
      <c r="B8" s="1788"/>
      <c r="C8" s="1802"/>
      <c r="D8" s="1788"/>
      <c r="E8" s="1788"/>
      <c r="F8" s="1788"/>
      <c r="G8" s="1788"/>
      <c r="H8" s="1788"/>
      <c r="I8" s="1788"/>
      <c r="J8" s="1788"/>
      <c r="K8" s="1788"/>
      <c r="L8" s="1788"/>
      <c r="M8" s="1788"/>
      <c r="N8" s="1788"/>
      <c r="O8" s="1788"/>
      <c r="P8" s="1788"/>
      <c r="Q8" s="1788"/>
      <c r="R8" s="1788"/>
      <c r="S8" s="1788"/>
      <c r="T8" s="1788"/>
      <c r="U8" s="1788"/>
      <c r="V8" s="477" t="s">
        <v>921</v>
      </c>
      <c r="W8" s="477" t="s">
        <v>922</v>
      </c>
      <c r="X8" s="477" t="s">
        <v>923</v>
      </c>
      <c r="Y8" s="477" t="s">
        <v>924</v>
      </c>
      <c r="Z8" s="476" t="s">
        <v>353</v>
      </c>
      <c r="AA8" s="476" t="s">
        <v>31</v>
      </c>
    </row>
    <row r="9" spans="1:27">
      <c r="A9" s="478" t="s">
        <v>925</v>
      </c>
      <c r="B9" s="478" t="s">
        <v>926</v>
      </c>
      <c r="C9" s="479"/>
      <c r="D9" s="588"/>
      <c r="E9" s="588"/>
      <c r="F9" s="588"/>
      <c r="G9" s="588"/>
      <c r="H9" s="588">
        <v>26</v>
      </c>
      <c r="I9" s="588">
        <v>26</v>
      </c>
      <c r="J9" s="588">
        <v>20</v>
      </c>
      <c r="K9" s="588">
        <v>20</v>
      </c>
      <c r="L9" s="588">
        <v>18</v>
      </c>
      <c r="M9" s="588">
        <v>18</v>
      </c>
      <c r="N9" s="588">
        <v>25</v>
      </c>
      <c r="O9" s="588">
        <v>25</v>
      </c>
      <c r="P9" s="588"/>
      <c r="Q9" s="588"/>
      <c r="R9" s="588"/>
      <c r="S9" s="588"/>
      <c r="T9" s="588">
        <v>26</v>
      </c>
      <c r="U9" s="588">
        <v>26</v>
      </c>
      <c r="V9" s="588">
        <v>14</v>
      </c>
      <c r="W9" s="588">
        <v>2</v>
      </c>
      <c r="X9" s="588"/>
      <c r="Y9" s="588">
        <v>8</v>
      </c>
      <c r="Z9" s="588">
        <v>25</v>
      </c>
      <c r="AA9" s="588">
        <v>25</v>
      </c>
    </row>
    <row r="10" spans="1:27">
      <c r="A10" s="478" t="s">
        <v>927</v>
      </c>
      <c r="B10" s="478" t="s">
        <v>928</v>
      </c>
      <c r="C10" s="479"/>
      <c r="D10" s="588"/>
      <c r="E10" s="588"/>
      <c r="F10" s="588"/>
      <c r="G10" s="588"/>
      <c r="H10" s="588">
        <v>26</v>
      </c>
      <c r="I10" s="588">
        <v>25</v>
      </c>
      <c r="J10" s="588">
        <v>19</v>
      </c>
      <c r="K10" s="588">
        <v>19</v>
      </c>
      <c r="L10" s="588">
        <v>20</v>
      </c>
      <c r="M10" s="588">
        <v>20</v>
      </c>
      <c r="N10" s="588">
        <v>25</v>
      </c>
      <c r="O10" s="588">
        <v>24</v>
      </c>
      <c r="P10" s="588"/>
      <c r="Q10" s="588"/>
      <c r="R10" s="588"/>
      <c r="S10" s="588"/>
      <c r="T10" s="588">
        <v>26</v>
      </c>
      <c r="U10" s="588">
        <v>25</v>
      </c>
      <c r="V10" s="588">
        <v>23</v>
      </c>
      <c r="W10" s="588">
        <v>1</v>
      </c>
      <c r="X10" s="588"/>
      <c r="Y10" s="588">
        <v>2</v>
      </c>
      <c r="Z10" s="588">
        <v>25</v>
      </c>
      <c r="AA10" s="588">
        <v>24</v>
      </c>
    </row>
    <row r="11" spans="1:27">
      <c r="A11" s="478" t="s">
        <v>929</v>
      </c>
      <c r="B11" s="478" t="s">
        <v>930</v>
      </c>
      <c r="C11" s="479"/>
      <c r="D11" s="588"/>
      <c r="E11" s="588"/>
      <c r="F11" s="588"/>
      <c r="G11" s="588"/>
      <c r="H11" s="588">
        <v>14</v>
      </c>
      <c r="I11" s="588">
        <v>14</v>
      </c>
      <c r="J11" s="588">
        <v>11</v>
      </c>
      <c r="K11" s="588">
        <v>11</v>
      </c>
      <c r="L11" s="588">
        <v>16</v>
      </c>
      <c r="M11" s="588">
        <v>15</v>
      </c>
      <c r="N11" s="588">
        <v>34</v>
      </c>
      <c r="O11" s="588">
        <v>30</v>
      </c>
      <c r="P11" s="588"/>
      <c r="Q11" s="588"/>
      <c r="R11" s="588"/>
      <c r="S11" s="588"/>
      <c r="T11" s="588">
        <v>14</v>
      </c>
      <c r="U11" s="588">
        <v>14</v>
      </c>
      <c r="V11" s="588">
        <v>8</v>
      </c>
      <c r="W11" s="588"/>
      <c r="X11" s="588"/>
      <c r="Y11" s="588">
        <v>6</v>
      </c>
      <c r="Z11" s="588">
        <v>34</v>
      </c>
      <c r="AA11" s="588">
        <v>30</v>
      </c>
    </row>
    <row r="12" spans="1:27">
      <c r="A12" s="478" t="s">
        <v>931</v>
      </c>
      <c r="B12" s="478" t="s">
        <v>932</v>
      </c>
      <c r="C12" s="479"/>
      <c r="D12" s="588"/>
      <c r="E12" s="588"/>
      <c r="F12" s="588"/>
      <c r="G12" s="588"/>
      <c r="H12" s="588"/>
      <c r="I12" s="588"/>
      <c r="J12" s="588">
        <v>9</v>
      </c>
      <c r="K12" s="588">
        <v>9</v>
      </c>
      <c r="L12" s="588">
        <v>8</v>
      </c>
      <c r="M12" s="588">
        <v>7</v>
      </c>
      <c r="N12" s="588"/>
      <c r="O12" s="588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</row>
    <row r="13" spans="1:27">
      <c r="A13" s="478" t="s">
        <v>933</v>
      </c>
      <c r="B13" s="478" t="s">
        <v>934</v>
      </c>
      <c r="C13" s="479"/>
      <c r="D13" s="588"/>
      <c r="E13" s="588"/>
      <c r="F13" s="588"/>
      <c r="G13" s="588"/>
      <c r="H13" s="588"/>
      <c r="I13" s="588"/>
      <c r="J13" s="588"/>
      <c r="K13" s="588"/>
      <c r="L13" s="588">
        <v>14</v>
      </c>
      <c r="M13" s="588">
        <v>8</v>
      </c>
      <c r="N13" s="588">
        <v>9</v>
      </c>
      <c r="O13" s="588">
        <v>6</v>
      </c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>
        <v>9</v>
      </c>
      <c r="AA13" s="588">
        <v>6</v>
      </c>
    </row>
    <row r="14" spans="1:27">
      <c r="A14" s="478" t="s">
        <v>935</v>
      </c>
      <c r="B14" s="478" t="s">
        <v>936</v>
      </c>
      <c r="C14" s="479"/>
      <c r="D14" s="588"/>
      <c r="E14" s="588"/>
      <c r="F14" s="588"/>
      <c r="G14" s="588"/>
      <c r="H14" s="588">
        <v>21</v>
      </c>
      <c r="I14" s="588">
        <v>14</v>
      </c>
      <c r="J14" s="588">
        <v>11</v>
      </c>
      <c r="K14" s="588">
        <v>8</v>
      </c>
      <c r="L14" s="588">
        <v>11</v>
      </c>
      <c r="M14" s="588">
        <v>9</v>
      </c>
      <c r="N14" s="588">
        <v>13</v>
      </c>
      <c r="O14" s="588">
        <v>10</v>
      </c>
      <c r="P14" s="588"/>
      <c r="Q14" s="588"/>
      <c r="R14" s="588"/>
      <c r="S14" s="588"/>
      <c r="T14" s="588">
        <v>21</v>
      </c>
      <c r="U14" s="588">
        <v>14</v>
      </c>
      <c r="V14" s="588">
        <v>14</v>
      </c>
      <c r="W14" s="588"/>
      <c r="X14" s="588"/>
      <c r="Y14" s="588">
        <v>7</v>
      </c>
      <c r="Z14" s="588">
        <v>13</v>
      </c>
      <c r="AA14" s="588">
        <v>10</v>
      </c>
    </row>
    <row r="15" spans="1:27">
      <c r="A15" s="478" t="s">
        <v>937</v>
      </c>
      <c r="B15" s="478" t="s">
        <v>938</v>
      </c>
      <c r="C15" s="479"/>
      <c r="D15" s="588"/>
      <c r="E15" s="588"/>
      <c r="F15" s="588"/>
      <c r="G15" s="588"/>
      <c r="H15" s="588"/>
      <c r="I15" s="588"/>
      <c r="J15" s="588"/>
      <c r="K15" s="588"/>
      <c r="L15" s="588"/>
      <c r="M15" s="588"/>
      <c r="N15" s="588">
        <v>16</v>
      </c>
      <c r="O15" s="588">
        <v>12</v>
      </c>
      <c r="P15" s="588"/>
      <c r="Q15" s="588"/>
      <c r="R15" s="588"/>
      <c r="S15" s="588"/>
      <c r="T15" s="588"/>
      <c r="U15" s="588"/>
      <c r="V15" s="588"/>
      <c r="W15" s="588"/>
      <c r="X15" s="588"/>
      <c r="Y15" s="588"/>
      <c r="Z15" s="588">
        <v>16</v>
      </c>
      <c r="AA15" s="588">
        <v>12</v>
      </c>
    </row>
    <row r="16" spans="1:27">
      <c r="A16" s="478" t="s">
        <v>939</v>
      </c>
      <c r="B16" s="478" t="s">
        <v>940</v>
      </c>
      <c r="C16" s="479"/>
      <c r="D16" s="588"/>
      <c r="E16" s="588"/>
      <c r="F16" s="588"/>
      <c r="G16" s="588"/>
      <c r="H16" s="588">
        <v>8</v>
      </c>
      <c r="I16" s="588">
        <v>5</v>
      </c>
      <c r="J16" s="588"/>
      <c r="K16" s="588"/>
      <c r="L16" s="588">
        <v>14</v>
      </c>
      <c r="M16" s="588">
        <v>13</v>
      </c>
      <c r="N16" s="588"/>
      <c r="O16" s="588"/>
      <c r="P16" s="588"/>
      <c r="Q16" s="588"/>
      <c r="R16" s="588"/>
      <c r="S16" s="588"/>
      <c r="T16" s="588">
        <v>8</v>
      </c>
      <c r="U16" s="588">
        <v>5</v>
      </c>
      <c r="V16" s="588">
        <v>7</v>
      </c>
      <c r="W16" s="588"/>
      <c r="X16" s="588"/>
      <c r="Y16" s="588">
        <v>1</v>
      </c>
      <c r="Z16" s="588"/>
      <c r="AA16" s="588"/>
    </row>
    <row r="17" spans="1:27">
      <c r="A17" s="478" t="s">
        <v>941</v>
      </c>
      <c r="B17" s="478" t="s">
        <v>942</v>
      </c>
      <c r="C17" s="479"/>
      <c r="D17" s="588"/>
      <c r="E17" s="588"/>
      <c r="F17" s="588"/>
      <c r="G17" s="588"/>
      <c r="H17" s="588">
        <v>11</v>
      </c>
      <c r="I17" s="588">
        <v>10</v>
      </c>
      <c r="J17" s="588">
        <v>11</v>
      </c>
      <c r="K17" s="588">
        <v>11</v>
      </c>
      <c r="L17" s="588">
        <v>16</v>
      </c>
      <c r="M17" s="588">
        <v>16</v>
      </c>
      <c r="N17" s="588">
        <v>12</v>
      </c>
      <c r="O17" s="588">
        <v>12</v>
      </c>
      <c r="P17" s="588"/>
      <c r="Q17" s="588"/>
      <c r="R17" s="588"/>
      <c r="S17" s="588"/>
      <c r="T17" s="588">
        <v>11</v>
      </c>
      <c r="U17" s="588">
        <v>10</v>
      </c>
      <c r="V17" s="588">
        <v>5</v>
      </c>
      <c r="W17" s="588"/>
      <c r="X17" s="588"/>
      <c r="Y17" s="588">
        <v>6</v>
      </c>
      <c r="Z17" s="588">
        <v>12</v>
      </c>
      <c r="AA17" s="588">
        <v>12</v>
      </c>
    </row>
    <row r="18" spans="1:27">
      <c r="A18" s="478" t="s">
        <v>943</v>
      </c>
      <c r="B18" s="478" t="s">
        <v>944</v>
      </c>
      <c r="C18" s="479"/>
      <c r="D18" s="588"/>
      <c r="E18" s="588"/>
      <c r="F18" s="588"/>
      <c r="G18" s="588"/>
      <c r="H18" s="588">
        <v>13</v>
      </c>
      <c r="I18" s="588">
        <v>11</v>
      </c>
      <c r="J18" s="588">
        <v>18</v>
      </c>
      <c r="K18" s="588">
        <v>15</v>
      </c>
      <c r="L18" s="588">
        <v>11</v>
      </c>
      <c r="M18" s="588">
        <v>10</v>
      </c>
      <c r="N18" s="588">
        <v>11</v>
      </c>
      <c r="O18" s="588">
        <v>11</v>
      </c>
      <c r="P18" s="588"/>
      <c r="Q18" s="588"/>
      <c r="R18" s="588"/>
      <c r="S18" s="588"/>
      <c r="T18" s="588">
        <v>13</v>
      </c>
      <c r="U18" s="588">
        <v>11</v>
      </c>
      <c r="V18" s="588">
        <v>8</v>
      </c>
      <c r="W18" s="588"/>
      <c r="X18" s="588"/>
      <c r="Y18" s="588">
        <v>5</v>
      </c>
      <c r="Z18" s="588">
        <v>11</v>
      </c>
      <c r="AA18" s="588">
        <v>11</v>
      </c>
    </row>
    <row r="19" spans="1:27">
      <c r="A19" s="478" t="s">
        <v>945</v>
      </c>
      <c r="B19" s="478" t="s">
        <v>946</v>
      </c>
      <c r="C19" s="479"/>
      <c r="D19" s="588"/>
      <c r="E19" s="588"/>
      <c r="F19" s="588"/>
      <c r="G19" s="588"/>
      <c r="H19" s="588">
        <v>20</v>
      </c>
      <c r="I19" s="588">
        <v>18</v>
      </c>
      <c r="J19" s="588">
        <v>15</v>
      </c>
      <c r="K19" s="588">
        <v>11</v>
      </c>
      <c r="L19" s="588">
        <v>13</v>
      </c>
      <c r="M19" s="588">
        <v>11</v>
      </c>
      <c r="N19" s="588">
        <v>13</v>
      </c>
      <c r="O19" s="588">
        <v>11</v>
      </c>
      <c r="P19" s="588"/>
      <c r="Q19" s="588"/>
      <c r="R19" s="588"/>
      <c r="S19" s="588"/>
      <c r="T19" s="588">
        <v>20</v>
      </c>
      <c r="U19" s="588">
        <v>18</v>
      </c>
      <c r="V19" s="588">
        <v>13</v>
      </c>
      <c r="W19" s="588"/>
      <c r="X19" s="588"/>
      <c r="Y19" s="588">
        <v>7</v>
      </c>
      <c r="Z19" s="588">
        <v>13</v>
      </c>
      <c r="AA19" s="588">
        <v>11</v>
      </c>
    </row>
    <row r="20" spans="1:27">
      <c r="A20" s="478" t="s">
        <v>947</v>
      </c>
      <c r="B20" s="478" t="s">
        <v>948</v>
      </c>
      <c r="C20" s="479"/>
      <c r="D20" s="588"/>
      <c r="E20" s="588"/>
      <c r="F20" s="588"/>
      <c r="G20" s="588"/>
      <c r="H20" s="588"/>
      <c r="I20" s="588"/>
      <c r="J20" s="588"/>
      <c r="K20" s="588"/>
      <c r="L20" s="588"/>
      <c r="M20" s="588"/>
      <c r="N20" s="588">
        <v>5</v>
      </c>
      <c r="O20" s="588">
        <v>5</v>
      </c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>
        <v>5</v>
      </c>
      <c r="AA20" s="588">
        <v>5</v>
      </c>
    </row>
    <row r="21" spans="1:27">
      <c r="A21" s="478" t="s">
        <v>1229</v>
      </c>
      <c r="B21" s="478" t="s">
        <v>1230</v>
      </c>
      <c r="C21" s="479"/>
      <c r="D21" s="588"/>
      <c r="E21" s="588"/>
      <c r="F21" s="588"/>
      <c r="G21" s="588"/>
      <c r="H21" s="588">
        <v>14</v>
      </c>
      <c r="I21" s="588">
        <v>9</v>
      </c>
      <c r="J21" s="588"/>
      <c r="K21" s="588"/>
      <c r="L21" s="588"/>
      <c r="M21" s="588"/>
      <c r="N21" s="588"/>
      <c r="O21" s="588"/>
      <c r="P21" s="588"/>
      <c r="Q21" s="588"/>
      <c r="R21" s="588"/>
      <c r="S21" s="588"/>
      <c r="T21" s="588">
        <v>14</v>
      </c>
      <c r="U21" s="588">
        <v>9</v>
      </c>
      <c r="V21" s="588">
        <v>9</v>
      </c>
      <c r="W21" s="588"/>
      <c r="X21" s="588"/>
      <c r="Y21" s="588">
        <v>5</v>
      </c>
      <c r="Z21" s="588"/>
      <c r="AA21" s="588"/>
    </row>
    <row r="22" spans="1:27">
      <c r="A22" s="478"/>
      <c r="B22" s="480" t="s">
        <v>949</v>
      </c>
      <c r="C22" s="479"/>
      <c r="D22" s="589">
        <f>SUM(D9:D21)</f>
        <v>0</v>
      </c>
      <c r="E22" s="589">
        <f>SUM(E9:E21)</f>
        <v>0</v>
      </c>
      <c r="F22" s="589">
        <f>SUM(F9:F21)</f>
        <v>0</v>
      </c>
      <c r="G22" s="589">
        <f>SUM(G9:G21)</f>
        <v>0</v>
      </c>
      <c r="H22" s="589">
        <f t="shared" ref="H22:AA22" si="0">SUM(H9:H21)</f>
        <v>153</v>
      </c>
      <c r="I22" s="589">
        <f t="shared" si="0"/>
        <v>132</v>
      </c>
      <c r="J22" s="589">
        <f t="shared" si="0"/>
        <v>114</v>
      </c>
      <c r="K22" s="589">
        <f t="shared" si="0"/>
        <v>104</v>
      </c>
      <c r="L22" s="589">
        <f t="shared" si="0"/>
        <v>141</v>
      </c>
      <c r="M22" s="589">
        <f t="shared" si="0"/>
        <v>127</v>
      </c>
      <c r="N22" s="589">
        <f t="shared" si="0"/>
        <v>163</v>
      </c>
      <c r="O22" s="589">
        <f t="shared" si="0"/>
        <v>146</v>
      </c>
      <c r="P22" s="589">
        <f t="shared" si="0"/>
        <v>0</v>
      </c>
      <c r="Q22" s="589">
        <f t="shared" si="0"/>
        <v>0</v>
      </c>
      <c r="R22" s="589">
        <f t="shared" si="0"/>
        <v>0</v>
      </c>
      <c r="S22" s="589">
        <f t="shared" si="0"/>
        <v>0</v>
      </c>
      <c r="T22" s="589">
        <f t="shared" si="0"/>
        <v>153</v>
      </c>
      <c r="U22" s="589">
        <f t="shared" si="0"/>
        <v>132</v>
      </c>
      <c r="V22" s="589">
        <f t="shared" si="0"/>
        <v>101</v>
      </c>
      <c r="W22" s="589">
        <f t="shared" si="0"/>
        <v>3</v>
      </c>
      <c r="X22" s="589">
        <f t="shared" si="0"/>
        <v>0</v>
      </c>
      <c r="Y22" s="589">
        <f t="shared" si="0"/>
        <v>47</v>
      </c>
      <c r="Z22" s="589">
        <f t="shared" si="0"/>
        <v>163</v>
      </c>
      <c r="AA22" s="589">
        <f t="shared" si="0"/>
        <v>146</v>
      </c>
    </row>
    <row r="23" spans="1:27">
      <c r="A23" s="478" t="s">
        <v>925</v>
      </c>
      <c r="B23" s="478" t="s">
        <v>950</v>
      </c>
      <c r="C23" s="479"/>
      <c r="D23" s="590"/>
      <c r="E23" s="590"/>
      <c r="F23" s="590"/>
      <c r="G23" s="590"/>
      <c r="H23" s="590"/>
      <c r="I23" s="590"/>
      <c r="J23" s="590">
        <v>27</v>
      </c>
      <c r="K23" s="590">
        <v>27</v>
      </c>
      <c r="L23" s="590"/>
      <c r="M23" s="590"/>
      <c r="N23" s="590"/>
      <c r="O23" s="590"/>
      <c r="P23" s="590"/>
      <c r="Q23" s="590"/>
      <c r="R23" s="590"/>
      <c r="S23" s="590"/>
      <c r="T23" s="590"/>
      <c r="U23" s="590"/>
      <c r="V23" s="590"/>
      <c r="W23" s="590"/>
      <c r="X23" s="590"/>
      <c r="Y23" s="590"/>
      <c r="Z23" s="590">
        <v>27</v>
      </c>
      <c r="AA23" s="590">
        <v>27</v>
      </c>
    </row>
    <row r="24" spans="1:27">
      <c r="A24" s="478" t="s">
        <v>925</v>
      </c>
      <c r="B24" s="478" t="s">
        <v>951</v>
      </c>
      <c r="C24" s="479"/>
      <c r="D24" s="590"/>
      <c r="E24" s="590"/>
      <c r="F24" s="590"/>
      <c r="G24" s="590"/>
      <c r="H24" s="590"/>
      <c r="I24" s="590"/>
      <c r="J24" s="590"/>
      <c r="K24" s="590"/>
      <c r="L24" s="590">
        <v>3</v>
      </c>
      <c r="M24" s="590">
        <v>3</v>
      </c>
      <c r="N24" s="590"/>
      <c r="O24" s="590"/>
      <c r="P24" s="590"/>
      <c r="Q24" s="590"/>
      <c r="R24" s="590"/>
      <c r="S24" s="590"/>
      <c r="T24" s="590"/>
      <c r="U24" s="590"/>
      <c r="V24" s="590"/>
      <c r="W24" s="590"/>
      <c r="X24" s="590"/>
      <c r="Y24" s="590"/>
      <c r="Z24" s="590">
        <v>3</v>
      </c>
      <c r="AA24" s="590">
        <v>3</v>
      </c>
    </row>
    <row r="25" spans="1:27">
      <c r="A25" s="478" t="s">
        <v>925</v>
      </c>
      <c r="B25" s="478" t="s">
        <v>952</v>
      </c>
      <c r="C25" s="479"/>
      <c r="D25" s="590"/>
      <c r="E25" s="590"/>
      <c r="F25" s="590"/>
      <c r="G25" s="590"/>
      <c r="H25" s="590"/>
      <c r="I25" s="590"/>
      <c r="J25" s="590">
        <v>25</v>
      </c>
      <c r="K25" s="590">
        <v>25</v>
      </c>
      <c r="L25" s="590">
        <v>18</v>
      </c>
      <c r="M25" s="590">
        <v>18</v>
      </c>
      <c r="N25" s="590">
        <v>12</v>
      </c>
      <c r="O25" s="590">
        <v>12</v>
      </c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  <c r="AA25" s="590"/>
    </row>
    <row r="26" spans="1:27">
      <c r="A26" s="478" t="s">
        <v>927</v>
      </c>
      <c r="B26" s="478" t="s">
        <v>953</v>
      </c>
      <c r="C26" s="479"/>
      <c r="D26" s="590"/>
      <c r="E26" s="590"/>
      <c r="F26" s="590"/>
      <c r="G26" s="590"/>
      <c r="H26" s="590"/>
      <c r="I26" s="590"/>
      <c r="J26" s="590">
        <v>17</v>
      </c>
      <c r="K26" s="590">
        <v>16</v>
      </c>
      <c r="L26" s="590"/>
      <c r="M26" s="590"/>
      <c r="N26" s="590"/>
      <c r="O26" s="590"/>
      <c r="P26" s="590"/>
      <c r="Q26" s="590"/>
      <c r="R26" s="590"/>
      <c r="S26" s="590"/>
      <c r="T26" s="590"/>
      <c r="U26" s="590"/>
      <c r="V26" s="590"/>
      <c r="W26" s="590"/>
      <c r="X26" s="590"/>
      <c r="Y26" s="590"/>
      <c r="Z26" s="590">
        <v>17</v>
      </c>
      <c r="AA26" s="590">
        <v>16</v>
      </c>
    </row>
    <row r="27" spans="1:27">
      <c r="A27" s="478" t="s">
        <v>927</v>
      </c>
      <c r="B27" s="478" t="s">
        <v>1231</v>
      </c>
      <c r="C27" s="479"/>
      <c r="D27" s="590"/>
      <c r="E27" s="590"/>
      <c r="F27" s="590"/>
      <c r="G27" s="590"/>
      <c r="H27" s="590"/>
      <c r="I27" s="590"/>
      <c r="J27" s="590">
        <v>8</v>
      </c>
      <c r="K27" s="590">
        <v>8</v>
      </c>
      <c r="L27" s="590"/>
      <c r="M27" s="590"/>
      <c r="N27" s="590"/>
      <c r="O27" s="590"/>
      <c r="P27" s="590"/>
      <c r="Q27" s="590"/>
      <c r="R27" s="590"/>
      <c r="S27" s="590"/>
      <c r="T27" s="590"/>
      <c r="U27" s="590"/>
      <c r="V27" s="590"/>
      <c r="W27" s="590"/>
      <c r="X27" s="590"/>
      <c r="Y27" s="590"/>
      <c r="Z27" s="590">
        <v>8</v>
      </c>
      <c r="AA27" s="590">
        <v>8</v>
      </c>
    </row>
    <row r="28" spans="1:27">
      <c r="A28" s="478"/>
      <c r="B28" s="480" t="s">
        <v>663</v>
      </c>
      <c r="C28" s="481"/>
      <c r="D28" s="589">
        <f t="shared" ref="D28:AA28" si="1">SUM(D23:D27)</f>
        <v>0</v>
      </c>
      <c r="E28" s="589">
        <f t="shared" si="1"/>
        <v>0</v>
      </c>
      <c r="F28" s="589">
        <f t="shared" si="1"/>
        <v>0</v>
      </c>
      <c r="G28" s="589">
        <f t="shared" si="1"/>
        <v>0</v>
      </c>
      <c r="H28" s="589">
        <f t="shared" si="1"/>
        <v>0</v>
      </c>
      <c r="I28" s="589">
        <f t="shared" si="1"/>
        <v>0</v>
      </c>
      <c r="J28" s="589">
        <f t="shared" si="1"/>
        <v>77</v>
      </c>
      <c r="K28" s="589">
        <f t="shared" si="1"/>
        <v>76</v>
      </c>
      <c r="L28" s="589">
        <f t="shared" si="1"/>
        <v>21</v>
      </c>
      <c r="M28" s="589">
        <f t="shared" si="1"/>
        <v>21</v>
      </c>
      <c r="N28" s="589">
        <f t="shared" si="1"/>
        <v>12</v>
      </c>
      <c r="O28" s="589">
        <f t="shared" si="1"/>
        <v>12</v>
      </c>
      <c r="P28" s="589">
        <f t="shared" si="1"/>
        <v>0</v>
      </c>
      <c r="Q28" s="589">
        <f t="shared" si="1"/>
        <v>0</v>
      </c>
      <c r="R28" s="589">
        <f t="shared" si="1"/>
        <v>0</v>
      </c>
      <c r="S28" s="589">
        <f t="shared" si="1"/>
        <v>0</v>
      </c>
      <c r="T28" s="589">
        <f t="shared" si="1"/>
        <v>0</v>
      </c>
      <c r="U28" s="589">
        <f t="shared" si="1"/>
        <v>0</v>
      </c>
      <c r="V28" s="589">
        <f t="shared" si="1"/>
        <v>0</v>
      </c>
      <c r="W28" s="589">
        <f t="shared" si="1"/>
        <v>0</v>
      </c>
      <c r="X28" s="589">
        <f t="shared" si="1"/>
        <v>0</v>
      </c>
      <c r="Y28" s="589">
        <f t="shared" si="1"/>
        <v>0</v>
      </c>
      <c r="Z28" s="589">
        <f t="shared" si="1"/>
        <v>55</v>
      </c>
      <c r="AA28" s="589">
        <f t="shared" si="1"/>
        <v>54</v>
      </c>
    </row>
    <row r="29" spans="1:27">
      <c r="A29" s="478" t="s">
        <v>941</v>
      </c>
      <c r="B29" s="478" t="s">
        <v>1232</v>
      </c>
      <c r="C29" s="479"/>
      <c r="D29" s="590"/>
      <c r="E29" s="590"/>
      <c r="F29" s="590"/>
      <c r="G29" s="590"/>
      <c r="H29" s="590"/>
      <c r="I29" s="590"/>
      <c r="J29" s="590">
        <v>20</v>
      </c>
      <c r="K29" s="590">
        <v>19</v>
      </c>
      <c r="L29" s="590"/>
      <c r="M29" s="590"/>
      <c r="N29" s="590"/>
      <c r="O29" s="590"/>
      <c r="P29" s="590"/>
      <c r="Q29" s="590"/>
      <c r="R29" s="590"/>
      <c r="S29" s="590"/>
      <c r="T29" s="590"/>
      <c r="U29" s="590"/>
      <c r="V29" s="590"/>
      <c r="W29" s="590"/>
      <c r="X29" s="590"/>
      <c r="Y29" s="590"/>
      <c r="Z29" s="590"/>
      <c r="AA29" s="590"/>
    </row>
    <row r="30" spans="1:27">
      <c r="A30" s="478" t="s">
        <v>943</v>
      </c>
      <c r="B30" s="478" t="s">
        <v>1233</v>
      </c>
      <c r="C30" s="479"/>
      <c r="D30" s="588"/>
      <c r="E30" s="588"/>
      <c r="F30" s="588"/>
      <c r="G30" s="588"/>
      <c r="H30" s="588"/>
      <c r="I30" s="588"/>
      <c r="J30" s="588">
        <v>9</v>
      </c>
      <c r="K30" s="588">
        <v>6</v>
      </c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  <c r="Y30" s="588"/>
      <c r="Z30" s="588"/>
      <c r="AA30" s="588"/>
    </row>
    <row r="31" spans="1:27">
      <c r="A31" s="478" t="s">
        <v>935</v>
      </c>
      <c r="B31" s="478" t="s">
        <v>1234</v>
      </c>
      <c r="C31" s="479"/>
      <c r="D31" s="588"/>
      <c r="E31" s="588"/>
      <c r="F31" s="588"/>
      <c r="G31" s="588"/>
      <c r="H31" s="588"/>
      <c r="I31" s="588"/>
      <c r="J31" s="588">
        <v>7</v>
      </c>
      <c r="K31" s="588">
        <v>6</v>
      </c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  <c r="X31" s="588"/>
      <c r="Y31" s="588"/>
      <c r="Z31" s="588"/>
      <c r="AA31" s="588"/>
    </row>
    <row r="32" spans="1:27">
      <c r="A32" s="478"/>
      <c r="B32" s="480" t="s">
        <v>664</v>
      </c>
      <c r="C32" s="481"/>
      <c r="D32" s="589">
        <f t="shared" ref="D32:AA32" si="2">SUM(D29:D31)</f>
        <v>0</v>
      </c>
      <c r="E32" s="589">
        <f t="shared" si="2"/>
        <v>0</v>
      </c>
      <c r="F32" s="589">
        <f t="shared" si="2"/>
        <v>0</v>
      </c>
      <c r="G32" s="589">
        <f t="shared" si="2"/>
        <v>0</v>
      </c>
      <c r="H32" s="589">
        <f t="shared" si="2"/>
        <v>0</v>
      </c>
      <c r="I32" s="589">
        <f t="shared" si="2"/>
        <v>0</v>
      </c>
      <c r="J32" s="589">
        <f t="shared" si="2"/>
        <v>36</v>
      </c>
      <c r="K32" s="589">
        <f t="shared" si="2"/>
        <v>31</v>
      </c>
      <c r="L32" s="589">
        <f t="shared" si="2"/>
        <v>0</v>
      </c>
      <c r="M32" s="589">
        <f t="shared" si="2"/>
        <v>0</v>
      </c>
      <c r="N32" s="589">
        <f t="shared" si="2"/>
        <v>0</v>
      </c>
      <c r="O32" s="589">
        <f t="shared" si="2"/>
        <v>0</v>
      </c>
      <c r="P32" s="589">
        <f t="shared" si="2"/>
        <v>0</v>
      </c>
      <c r="Q32" s="589">
        <f t="shared" si="2"/>
        <v>0</v>
      </c>
      <c r="R32" s="589">
        <f t="shared" si="2"/>
        <v>0</v>
      </c>
      <c r="S32" s="589">
        <f t="shared" si="2"/>
        <v>0</v>
      </c>
      <c r="T32" s="589">
        <f t="shared" si="2"/>
        <v>0</v>
      </c>
      <c r="U32" s="589">
        <f t="shared" si="2"/>
        <v>0</v>
      </c>
      <c r="V32" s="589">
        <f t="shared" si="2"/>
        <v>0</v>
      </c>
      <c r="W32" s="589">
        <f t="shared" si="2"/>
        <v>0</v>
      </c>
      <c r="X32" s="589">
        <f t="shared" si="2"/>
        <v>0</v>
      </c>
      <c r="Y32" s="589">
        <f t="shared" si="2"/>
        <v>0</v>
      </c>
      <c r="Z32" s="589">
        <f t="shared" si="2"/>
        <v>0</v>
      </c>
      <c r="AA32" s="589">
        <f t="shared" si="2"/>
        <v>0</v>
      </c>
    </row>
    <row r="33" spans="1:27">
      <c r="A33" s="478" t="s">
        <v>927</v>
      </c>
      <c r="B33" s="478" t="s">
        <v>1235</v>
      </c>
      <c r="C33" s="481"/>
      <c r="D33" s="589"/>
      <c r="E33" s="589"/>
      <c r="F33" s="589"/>
      <c r="G33" s="589"/>
      <c r="H33" s="589"/>
      <c r="I33" s="589"/>
      <c r="J33" s="589">
        <v>41</v>
      </c>
      <c r="K33" s="589">
        <v>40</v>
      </c>
      <c r="L33" s="589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>
        <v>41</v>
      </c>
      <c r="AA33" s="589">
        <v>40</v>
      </c>
    </row>
    <row r="34" spans="1:27">
      <c r="A34" s="478"/>
      <c r="B34" s="480" t="s">
        <v>1236</v>
      </c>
      <c r="C34" s="481"/>
      <c r="D34" s="589"/>
      <c r="E34" s="589"/>
      <c r="F34" s="589"/>
      <c r="G34" s="589"/>
      <c r="H34" s="589"/>
      <c r="I34" s="589"/>
      <c r="J34" s="589">
        <v>41</v>
      </c>
      <c r="K34" s="589">
        <v>40</v>
      </c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>
        <v>41</v>
      </c>
      <c r="AA34" s="589">
        <v>40</v>
      </c>
    </row>
    <row r="35" spans="1:27">
      <c r="A35" s="479"/>
      <c r="B35" s="482" t="s">
        <v>276</v>
      </c>
      <c r="C35" s="479"/>
      <c r="D35" s="589">
        <f t="shared" ref="D35:AA35" si="3">D22+D28+D32+D34</f>
        <v>0</v>
      </c>
      <c r="E35" s="589">
        <f t="shared" si="3"/>
        <v>0</v>
      </c>
      <c r="F35" s="589">
        <f t="shared" si="3"/>
        <v>0</v>
      </c>
      <c r="G35" s="589">
        <f t="shared" si="3"/>
        <v>0</v>
      </c>
      <c r="H35" s="589">
        <f t="shared" si="3"/>
        <v>153</v>
      </c>
      <c r="I35" s="589">
        <f t="shared" si="3"/>
        <v>132</v>
      </c>
      <c r="J35" s="589">
        <f t="shared" si="3"/>
        <v>268</v>
      </c>
      <c r="K35" s="589">
        <f t="shared" si="3"/>
        <v>251</v>
      </c>
      <c r="L35" s="589">
        <f t="shared" si="3"/>
        <v>162</v>
      </c>
      <c r="M35" s="589">
        <f t="shared" si="3"/>
        <v>148</v>
      </c>
      <c r="N35" s="589">
        <f t="shared" si="3"/>
        <v>175</v>
      </c>
      <c r="O35" s="589">
        <f t="shared" si="3"/>
        <v>158</v>
      </c>
      <c r="P35" s="589">
        <f t="shared" si="3"/>
        <v>0</v>
      </c>
      <c r="Q35" s="589">
        <f t="shared" si="3"/>
        <v>0</v>
      </c>
      <c r="R35" s="589">
        <f t="shared" si="3"/>
        <v>0</v>
      </c>
      <c r="S35" s="589">
        <f t="shared" si="3"/>
        <v>0</v>
      </c>
      <c r="T35" s="589">
        <f t="shared" si="3"/>
        <v>153</v>
      </c>
      <c r="U35" s="589">
        <f t="shared" si="3"/>
        <v>132</v>
      </c>
      <c r="V35" s="589">
        <f t="shared" si="3"/>
        <v>101</v>
      </c>
      <c r="W35" s="589">
        <f t="shared" si="3"/>
        <v>3</v>
      </c>
      <c r="X35" s="589">
        <f t="shared" si="3"/>
        <v>0</v>
      </c>
      <c r="Y35" s="589">
        <f t="shared" si="3"/>
        <v>47</v>
      </c>
      <c r="Z35" s="589">
        <f t="shared" si="3"/>
        <v>259</v>
      </c>
      <c r="AA35" s="589">
        <f t="shared" si="3"/>
        <v>240</v>
      </c>
    </row>
    <row r="37" spans="1:27">
      <c r="F37" s="473"/>
      <c r="G37" s="483"/>
    </row>
    <row r="38" spans="1:27">
      <c r="F38" s="483"/>
      <c r="G38" s="483"/>
      <c r="M38" s="454"/>
    </row>
    <row r="39" spans="1:27">
      <c r="B39" s="483"/>
      <c r="D39" s="483"/>
      <c r="F39" s="473"/>
      <c r="G39" s="483"/>
      <c r="T39" s="454"/>
    </row>
    <row r="40" spans="1:27">
      <c r="A40" s="1799">
        <v>59</v>
      </c>
      <c r="B40" s="1799"/>
      <c r="C40" s="1799"/>
      <c r="D40" s="1799"/>
      <c r="E40" s="1799"/>
      <c r="F40" s="1799"/>
      <c r="G40" s="1799"/>
      <c r="H40" s="1799"/>
      <c r="I40" s="1799"/>
      <c r="J40" s="1799"/>
      <c r="K40" s="1799"/>
      <c r="L40" s="1799"/>
      <c r="M40" s="1799"/>
      <c r="N40" s="1799"/>
      <c r="O40" s="1799"/>
      <c r="P40" s="1799"/>
      <c r="Q40" s="1799"/>
      <c r="R40" s="1799"/>
      <c r="S40" s="1799"/>
      <c r="T40" s="1799"/>
      <c r="U40" s="1799"/>
      <c r="V40" s="1799"/>
      <c r="W40" s="1799"/>
      <c r="X40" s="1799"/>
      <c r="Y40" s="1799"/>
      <c r="Z40" s="1799"/>
      <c r="AA40" s="1799"/>
    </row>
    <row r="41" spans="1:27">
      <c r="G41" s="473"/>
      <c r="N41" s="484"/>
    </row>
  </sheetData>
  <mergeCells count="38">
    <mergeCell ref="A3:AA3"/>
    <mergeCell ref="A4:AA4"/>
    <mergeCell ref="A40:AA40"/>
    <mergeCell ref="A5:A8"/>
    <mergeCell ref="B5:B8"/>
    <mergeCell ref="C5:C8"/>
    <mergeCell ref="D5:E6"/>
    <mergeCell ref="F5:S5"/>
    <mergeCell ref="T5:AA5"/>
    <mergeCell ref="F6:G6"/>
    <mergeCell ref="D7:D8"/>
    <mergeCell ref="E7:E8"/>
    <mergeCell ref="F7:F8"/>
    <mergeCell ref="G7:G8"/>
    <mergeCell ref="H7:H8"/>
    <mergeCell ref="M7:M8"/>
    <mergeCell ref="U7:U8"/>
    <mergeCell ref="P6:Q6"/>
    <mergeCell ref="R6:S6"/>
    <mergeCell ref="T6:Y6"/>
    <mergeCell ref="V7:Y7"/>
    <mergeCell ref="T7:T8"/>
    <mergeCell ref="A2:AA2"/>
    <mergeCell ref="P7:P8"/>
    <mergeCell ref="Q7:Q8"/>
    <mergeCell ref="R7:R8"/>
    <mergeCell ref="S7:S8"/>
    <mergeCell ref="I7:I8"/>
    <mergeCell ref="K7:K8"/>
    <mergeCell ref="L7:L8"/>
    <mergeCell ref="O7:O8"/>
    <mergeCell ref="N6:O6"/>
    <mergeCell ref="H6:I6"/>
    <mergeCell ref="J6:K6"/>
    <mergeCell ref="L6:M6"/>
    <mergeCell ref="J7:J8"/>
    <mergeCell ref="N7:N8"/>
    <mergeCell ref="Z6:AA7"/>
  </mergeCells>
  <pageMargins left="0.7" right="0.7" top="0.75" bottom="0.75" header="0.3" footer="0.3"/>
  <pageSetup orientation="landscape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20"/>
  <sheetViews>
    <sheetView workbookViewId="0">
      <selection activeCell="AB5" sqref="AB5"/>
    </sheetView>
  </sheetViews>
  <sheetFormatPr defaultRowHeight="12.75"/>
  <cols>
    <col min="1" max="1" width="4.140625" customWidth="1"/>
    <col min="3" max="3" width="5.140625" customWidth="1"/>
    <col min="4" max="4" width="9.140625" hidden="1" customWidth="1"/>
    <col min="5" max="5" width="5.5703125" customWidth="1"/>
    <col min="6" max="6" width="7.140625" customWidth="1"/>
    <col min="7" max="7" width="3.7109375" customWidth="1"/>
    <col min="8" max="8" width="3.5703125" customWidth="1"/>
    <col min="9" max="10" width="3.7109375" customWidth="1"/>
    <col min="11" max="11" width="3.5703125" customWidth="1"/>
    <col min="12" max="13" width="3.7109375" customWidth="1"/>
    <col min="14" max="14" width="6.42578125" customWidth="1"/>
    <col min="15" max="15" width="6.5703125" customWidth="1"/>
    <col min="16" max="16" width="3.85546875" customWidth="1"/>
    <col min="17" max="17" width="3.7109375" customWidth="1"/>
    <col min="18" max="18" width="3.42578125" customWidth="1"/>
    <col min="19" max="19" width="3.7109375" customWidth="1"/>
    <col min="20" max="21" width="3.85546875" customWidth="1"/>
    <col min="22" max="22" width="4" customWidth="1"/>
    <col min="23" max="23" width="6.140625" customWidth="1"/>
    <col min="24" max="24" width="6.5703125" customWidth="1"/>
    <col min="26" max="26" width="5.5703125" customWidth="1"/>
  </cols>
  <sheetData>
    <row r="1" spans="1:29" ht="30" customHeight="1">
      <c r="A1" s="1804" t="s">
        <v>1578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1804"/>
      <c r="U1" s="1804"/>
      <c r="V1" s="1804"/>
      <c r="W1" s="1804"/>
      <c r="X1" s="1804"/>
      <c r="Y1" s="1804"/>
      <c r="Z1" s="1804"/>
      <c r="AA1" s="605"/>
      <c r="AB1" s="605"/>
      <c r="AC1" s="605"/>
    </row>
    <row r="2" spans="1:29" ht="18.75" customHeight="1">
      <c r="A2" s="1824" t="s">
        <v>1271</v>
      </c>
      <c r="B2" s="1815" t="s">
        <v>1273</v>
      </c>
      <c r="C2" s="1816"/>
      <c r="D2" s="1817"/>
      <c r="E2" s="1815" t="s">
        <v>1006</v>
      </c>
      <c r="F2" s="1816"/>
      <c r="G2" s="1830" t="s">
        <v>1274</v>
      </c>
      <c r="H2" s="1831"/>
      <c r="I2" s="1831"/>
      <c r="J2" s="1831"/>
      <c r="K2" s="1831"/>
      <c r="L2" s="1832"/>
      <c r="M2" s="1815" t="s">
        <v>1275</v>
      </c>
      <c r="N2" s="1816"/>
      <c r="O2" s="1816"/>
      <c r="P2" s="1816"/>
      <c r="Q2" s="1816"/>
      <c r="R2" s="1816"/>
      <c r="S2" s="1817"/>
      <c r="T2" s="1812" t="s">
        <v>1276</v>
      </c>
      <c r="U2" s="1812" t="s">
        <v>1277</v>
      </c>
      <c r="V2" s="1805" t="s">
        <v>1278</v>
      </c>
      <c r="W2" s="1811" t="s">
        <v>1279</v>
      </c>
      <c r="X2" s="1811"/>
      <c r="Y2" s="1811"/>
      <c r="Z2" s="1811"/>
    </row>
    <row r="3" spans="1:29" ht="54" customHeight="1">
      <c r="A3" s="1825"/>
      <c r="B3" s="1827"/>
      <c r="C3" s="1828"/>
      <c r="D3" s="1829"/>
      <c r="E3" s="1818"/>
      <c r="F3" s="1819"/>
      <c r="G3" s="1813" t="s">
        <v>1280</v>
      </c>
      <c r="H3" s="1814"/>
      <c r="I3" s="1813" t="s">
        <v>1281</v>
      </c>
      <c r="J3" s="1814"/>
      <c r="K3" s="1813" t="s">
        <v>1282</v>
      </c>
      <c r="L3" s="1814"/>
      <c r="M3" s="1818"/>
      <c r="N3" s="1819"/>
      <c r="O3" s="1819"/>
      <c r="P3" s="1819"/>
      <c r="Q3" s="1819"/>
      <c r="R3" s="1819"/>
      <c r="S3" s="1820"/>
      <c r="T3" s="1812"/>
      <c r="U3" s="1812"/>
      <c r="V3" s="1806"/>
      <c r="W3" s="1811"/>
      <c r="X3" s="1811"/>
      <c r="Y3" s="1811"/>
      <c r="Z3" s="1811"/>
    </row>
    <row r="4" spans="1:29" ht="15.75" customHeight="1">
      <c r="A4" s="1825"/>
      <c r="B4" s="1827"/>
      <c r="C4" s="1828"/>
      <c r="D4" s="1829"/>
      <c r="E4" s="1823" t="s">
        <v>276</v>
      </c>
      <c r="F4" s="1823" t="s">
        <v>1007</v>
      </c>
      <c r="G4" s="1822" t="s">
        <v>276</v>
      </c>
      <c r="H4" s="1822" t="s">
        <v>1007</v>
      </c>
      <c r="I4" s="1821" t="s">
        <v>276</v>
      </c>
      <c r="J4" s="1822" t="s">
        <v>1007</v>
      </c>
      <c r="K4" s="1821" t="s">
        <v>276</v>
      </c>
      <c r="L4" s="1822" t="s">
        <v>1007</v>
      </c>
      <c r="M4" s="1821" t="s">
        <v>1283</v>
      </c>
      <c r="N4" s="1821" t="s">
        <v>1072</v>
      </c>
      <c r="O4" s="1821" t="s">
        <v>1073</v>
      </c>
      <c r="P4" s="1821" t="s">
        <v>1074</v>
      </c>
      <c r="Q4" s="1821" t="s">
        <v>1284</v>
      </c>
      <c r="R4" s="1821" t="s">
        <v>1285</v>
      </c>
      <c r="S4" s="1821" t="s">
        <v>1077</v>
      </c>
      <c r="T4" s="1812"/>
      <c r="U4" s="1812"/>
      <c r="V4" s="1806"/>
      <c r="W4" s="1808" t="s">
        <v>1286</v>
      </c>
      <c r="X4" s="1809"/>
      <c r="Y4" s="1810" t="s">
        <v>1287</v>
      </c>
      <c r="Z4" s="1810" t="s">
        <v>273</v>
      </c>
    </row>
    <row r="5" spans="1:29" ht="28.5" customHeight="1">
      <c r="A5" s="1826"/>
      <c r="B5" s="1818"/>
      <c r="C5" s="1819"/>
      <c r="D5" s="1820"/>
      <c r="E5" s="1823"/>
      <c r="F5" s="1823"/>
      <c r="G5" s="1822"/>
      <c r="H5" s="1822"/>
      <c r="I5" s="1821"/>
      <c r="J5" s="1822"/>
      <c r="K5" s="1821"/>
      <c r="L5" s="1822"/>
      <c r="M5" s="1821"/>
      <c r="N5" s="1821"/>
      <c r="O5" s="1821"/>
      <c r="P5" s="1821"/>
      <c r="Q5" s="1821"/>
      <c r="R5" s="1821"/>
      <c r="S5" s="1821"/>
      <c r="T5" s="1812"/>
      <c r="U5" s="1812"/>
      <c r="V5" s="1807"/>
      <c r="W5" s="595" t="s">
        <v>1288</v>
      </c>
      <c r="X5" s="595" t="s">
        <v>1289</v>
      </c>
      <c r="Y5" s="1810"/>
      <c r="Z5" s="1810"/>
    </row>
    <row r="6" spans="1:29" ht="28.5" customHeight="1">
      <c r="A6" s="596" t="s">
        <v>277</v>
      </c>
      <c r="B6" s="1839" t="s">
        <v>964</v>
      </c>
      <c r="C6" s="1840"/>
      <c r="D6" s="1841"/>
      <c r="E6" s="601" t="s">
        <v>979</v>
      </c>
      <c r="F6" s="601" t="s">
        <v>965</v>
      </c>
      <c r="G6" s="597" t="s">
        <v>966</v>
      </c>
      <c r="H6" s="597" t="s">
        <v>967</v>
      </c>
      <c r="I6" s="597" t="s">
        <v>968</v>
      </c>
      <c r="J6" s="597" t="s">
        <v>969</v>
      </c>
      <c r="K6" s="597" t="s">
        <v>970</v>
      </c>
      <c r="L6" s="597" t="s">
        <v>971</v>
      </c>
      <c r="M6" s="597" t="s">
        <v>972</v>
      </c>
      <c r="N6" s="597" t="s">
        <v>973</v>
      </c>
      <c r="O6" s="597" t="s">
        <v>974</v>
      </c>
      <c r="P6" s="597" t="s">
        <v>11</v>
      </c>
      <c r="Q6" s="597" t="s">
        <v>975</v>
      </c>
      <c r="R6" s="597" t="s">
        <v>976</v>
      </c>
      <c r="S6" s="597" t="s">
        <v>977</v>
      </c>
      <c r="T6" s="597" t="s">
        <v>1012</v>
      </c>
      <c r="U6" s="597" t="s">
        <v>1013</v>
      </c>
      <c r="V6" s="597" t="s">
        <v>1014</v>
      </c>
      <c r="W6" s="597" t="s">
        <v>1015</v>
      </c>
      <c r="X6" s="597" t="s">
        <v>1016</v>
      </c>
      <c r="Y6" s="597" t="s">
        <v>1017</v>
      </c>
      <c r="Z6" s="597" t="s">
        <v>12</v>
      </c>
    </row>
    <row r="7" spans="1:29" ht="28.5" customHeight="1">
      <c r="A7" s="604">
        <v>1</v>
      </c>
      <c r="B7" s="1836" t="s">
        <v>1290</v>
      </c>
      <c r="C7" s="1837"/>
      <c r="D7" s="1838"/>
      <c r="E7" s="602">
        <f t="shared" ref="E7:F11" si="0">G7+I7+K7</f>
        <v>15</v>
      </c>
      <c r="F7" s="602">
        <f t="shared" si="0"/>
        <v>11</v>
      </c>
      <c r="G7" s="599"/>
      <c r="H7" s="599"/>
      <c r="I7" s="599"/>
      <c r="J7" s="599"/>
      <c r="K7" s="599">
        <v>15</v>
      </c>
      <c r="L7" s="599">
        <v>11</v>
      </c>
      <c r="M7" s="599"/>
      <c r="N7" s="599"/>
      <c r="O7" s="599"/>
      <c r="P7" s="599">
        <v>10</v>
      </c>
      <c r="Q7" s="599">
        <v>5</v>
      </c>
      <c r="R7" s="599"/>
      <c r="S7" s="599"/>
      <c r="T7" s="599">
        <v>2</v>
      </c>
      <c r="U7" s="599">
        <v>4</v>
      </c>
      <c r="V7" s="599">
        <v>9</v>
      </c>
      <c r="W7" s="599">
        <v>15</v>
      </c>
      <c r="X7" s="599"/>
      <c r="Y7" s="599"/>
      <c r="Z7" s="598"/>
    </row>
    <row r="8" spans="1:29" ht="28.5" customHeight="1">
      <c r="A8" s="604">
        <v>2</v>
      </c>
      <c r="B8" s="1836" t="s">
        <v>1291</v>
      </c>
      <c r="C8" s="1837"/>
      <c r="D8" s="1838"/>
      <c r="E8" s="602">
        <f t="shared" si="0"/>
        <v>9</v>
      </c>
      <c r="F8" s="602">
        <f t="shared" si="0"/>
        <v>1</v>
      </c>
      <c r="G8" s="599"/>
      <c r="H8" s="599"/>
      <c r="I8" s="599"/>
      <c r="J8" s="599"/>
      <c r="K8" s="599">
        <v>9</v>
      </c>
      <c r="L8" s="599">
        <v>1</v>
      </c>
      <c r="M8" s="599"/>
      <c r="N8" s="599"/>
      <c r="O8" s="599"/>
      <c r="P8" s="599">
        <v>6</v>
      </c>
      <c r="Q8" s="599">
        <v>3</v>
      </c>
      <c r="R8" s="599"/>
      <c r="S8" s="599"/>
      <c r="T8" s="599">
        <v>3</v>
      </c>
      <c r="U8" s="599">
        <v>3</v>
      </c>
      <c r="V8" s="599">
        <v>3</v>
      </c>
      <c r="W8" s="599">
        <v>9</v>
      </c>
      <c r="X8" s="599"/>
      <c r="Y8" s="599"/>
      <c r="Z8" s="598"/>
    </row>
    <row r="9" spans="1:29" ht="28.5" customHeight="1">
      <c r="A9" s="604">
        <v>8</v>
      </c>
      <c r="B9" s="1836" t="s">
        <v>1292</v>
      </c>
      <c r="C9" s="1837"/>
      <c r="D9" s="1838"/>
      <c r="E9" s="602">
        <f t="shared" si="0"/>
        <v>4</v>
      </c>
      <c r="F9" s="602">
        <f t="shared" si="0"/>
        <v>2</v>
      </c>
      <c r="G9" s="599"/>
      <c r="H9" s="599"/>
      <c r="I9" s="599"/>
      <c r="J9" s="599"/>
      <c r="K9" s="599">
        <v>4</v>
      </c>
      <c r="L9" s="599">
        <v>2</v>
      </c>
      <c r="M9" s="599"/>
      <c r="N9" s="599"/>
      <c r="O9" s="599"/>
      <c r="P9" s="599"/>
      <c r="Q9" s="599">
        <v>4</v>
      </c>
      <c r="R9" s="599"/>
      <c r="S9" s="599"/>
      <c r="T9" s="599"/>
      <c r="U9" s="599">
        <v>4</v>
      </c>
      <c r="V9" s="599"/>
      <c r="W9" s="599">
        <v>4</v>
      </c>
      <c r="X9" s="599"/>
      <c r="Y9" s="599"/>
      <c r="Z9" s="598"/>
    </row>
    <row r="10" spans="1:29" ht="28.5" customHeight="1">
      <c r="A10" s="604">
        <v>9</v>
      </c>
      <c r="B10" s="1836" t="s">
        <v>1293</v>
      </c>
      <c r="C10" s="1837"/>
      <c r="D10" s="1838"/>
      <c r="E10" s="602">
        <f t="shared" si="0"/>
        <v>8</v>
      </c>
      <c r="F10" s="602">
        <f t="shared" si="0"/>
        <v>0</v>
      </c>
      <c r="G10" s="599"/>
      <c r="H10" s="599"/>
      <c r="I10" s="599"/>
      <c r="J10" s="599"/>
      <c r="K10" s="599">
        <v>8</v>
      </c>
      <c r="L10" s="599">
        <v>0</v>
      </c>
      <c r="M10" s="599"/>
      <c r="N10" s="599"/>
      <c r="O10" s="599"/>
      <c r="P10" s="599">
        <v>5</v>
      </c>
      <c r="Q10" s="599">
        <v>3</v>
      </c>
      <c r="R10" s="599"/>
      <c r="S10" s="599"/>
      <c r="T10" s="599">
        <v>1</v>
      </c>
      <c r="U10" s="599">
        <v>4</v>
      </c>
      <c r="V10" s="599">
        <v>3</v>
      </c>
      <c r="W10" s="599">
        <v>8</v>
      </c>
      <c r="X10" s="599"/>
      <c r="Y10" s="599"/>
      <c r="Z10" s="598"/>
    </row>
    <row r="11" spans="1:29" ht="28.5" customHeight="1">
      <c r="A11" s="604">
        <v>10</v>
      </c>
      <c r="B11" s="1836" t="s">
        <v>1272</v>
      </c>
      <c r="C11" s="1837"/>
      <c r="D11" s="1838"/>
      <c r="E11" s="602">
        <f t="shared" si="0"/>
        <v>5</v>
      </c>
      <c r="F11" s="602">
        <f t="shared" si="0"/>
        <v>0</v>
      </c>
      <c r="G11" s="599"/>
      <c r="H11" s="599"/>
      <c r="I11" s="599"/>
      <c r="J11" s="599"/>
      <c r="K11" s="599">
        <v>5</v>
      </c>
      <c r="L11" s="599">
        <v>0</v>
      </c>
      <c r="M11" s="599"/>
      <c r="N11" s="599"/>
      <c r="O11" s="599"/>
      <c r="P11" s="599">
        <v>2</v>
      </c>
      <c r="Q11" s="599">
        <v>3</v>
      </c>
      <c r="R11" s="599"/>
      <c r="S11" s="599"/>
      <c r="T11" s="599"/>
      <c r="U11" s="599">
        <v>2</v>
      </c>
      <c r="V11" s="599">
        <v>3</v>
      </c>
      <c r="W11" s="599">
        <v>5</v>
      </c>
      <c r="X11" s="599"/>
      <c r="Y11" s="599"/>
      <c r="Z11" s="598"/>
    </row>
    <row r="12" spans="1:29" ht="32.25" customHeight="1">
      <c r="A12" s="604">
        <v>13</v>
      </c>
      <c r="B12" s="1836" t="s">
        <v>1294</v>
      </c>
      <c r="C12" s="1837"/>
      <c r="D12" s="1838"/>
      <c r="E12" s="602">
        <f t="shared" ref="E12:E17" si="1">G12+I12+K12</f>
        <v>9</v>
      </c>
      <c r="F12" s="602">
        <f t="shared" ref="F12:F17" si="2">H12+J12+L12</f>
        <v>5</v>
      </c>
      <c r="G12" s="599"/>
      <c r="H12" s="599"/>
      <c r="I12" s="599"/>
      <c r="J12" s="599"/>
      <c r="K12" s="599">
        <v>9</v>
      </c>
      <c r="L12" s="599">
        <v>5</v>
      </c>
      <c r="M12" s="599">
        <v>2</v>
      </c>
      <c r="N12" s="599"/>
      <c r="O12" s="599"/>
      <c r="P12" s="599">
        <v>7</v>
      </c>
      <c r="Q12" s="599"/>
      <c r="R12" s="599"/>
      <c r="S12" s="599"/>
      <c r="T12" s="599"/>
      <c r="U12" s="599">
        <v>8</v>
      </c>
      <c r="V12" s="599">
        <v>1</v>
      </c>
      <c r="W12" s="599"/>
      <c r="X12" s="599"/>
      <c r="Y12" s="599">
        <v>9</v>
      </c>
      <c r="Z12" s="598"/>
    </row>
    <row r="13" spans="1:29" ht="28.5" customHeight="1">
      <c r="A13" s="604">
        <v>14</v>
      </c>
      <c r="B13" s="1836" t="s">
        <v>1295</v>
      </c>
      <c r="C13" s="1837"/>
      <c r="D13" s="1838"/>
      <c r="E13" s="602">
        <f t="shared" si="1"/>
        <v>19</v>
      </c>
      <c r="F13" s="602">
        <f t="shared" si="2"/>
        <v>7</v>
      </c>
      <c r="G13" s="599"/>
      <c r="H13" s="599"/>
      <c r="I13" s="599"/>
      <c r="J13" s="599"/>
      <c r="K13" s="599">
        <v>19</v>
      </c>
      <c r="L13" s="599">
        <v>7</v>
      </c>
      <c r="M13" s="599">
        <v>1</v>
      </c>
      <c r="N13" s="599"/>
      <c r="O13" s="599">
        <v>5</v>
      </c>
      <c r="P13" s="599">
        <v>13</v>
      </c>
      <c r="Q13" s="599"/>
      <c r="R13" s="599"/>
      <c r="S13" s="599"/>
      <c r="T13" s="599">
        <v>8</v>
      </c>
      <c r="U13" s="599">
        <v>10</v>
      </c>
      <c r="V13" s="599">
        <v>1</v>
      </c>
      <c r="W13" s="599"/>
      <c r="X13" s="599"/>
      <c r="Y13" s="599">
        <v>19</v>
      </c>
      <c r="Z13" s="598"/>
    </row>
    <row r="14" spans="1:29" ht="28.5" customHeight="1">
      <c r="A14" s="604">
        <v>15</v>
      </c>
      <c r="B14" s="1836" t="s">
        <v>1296</v>
      </c>
      <c r="C14" s="1837"/>
      <c r="D14" s="1838"/>
      <c r="E14" s="602">
        <f t="shared" si="1"/>
        <v>15</v>
      </c>
      <c r="F14" s="602">
        <f t="shared" si="2"/>
        <v>3</v>
      </c>
      <c r="G14" s="599"/>
      <c r="H14" s="599"/>
      <c r="I14" s="599">
        <v>15</v>
      </c>
      <c r="J14" s="599">
        <v>3</v>
      </c>
      <c r="K14" s="599"/>
      <c r="L14" s="599"/>
      <c r="M14" s="599"/>
      <c r="N14" s="599"/>
      <c r="O14" s="599"/>
      <c r="P14" s="599">
        <v>6</v>
      </c>
      <c r="Q14" s="599">
        <v>5</v>
      </c>
      <c r="R14" s="599">
        <v>4</v>
      </c>
      <c r="S14" s="599"/>
      <c r="T14" s="599">
        <v>5</v>
      </c>
      <c r="U14" s="599">
        <v>10</v>
      </c>
      <c r="V14" s="599"/>
      <c r="W14" s="599">
        <v>15</v>
      </c>
      <c r="X14" s="599"/>
      <c r="Y14" s="599"/>
      <c r="Z14" s="598"/>
    </row>
    <row r="15" spans="1:29" ht="28.5" customHeight="1">
      <c r="A15" s="604">
        <v>16</v>
      </c>
      <c r="B15" s="1836" t="s">
        <v>1297</v>
      </c>
      <c r="C15" s="1837"/>
      <c r="D15" s="1838"/>
      <c r="E15" s="602">
        <f t="shared" si="1"/>
        <v>17</v>
      </c>
      <c r="F15" s="602">
        <f t="shared" si="2"/>
        <v>1</v>
      </c>
      <c r="G15" s="599"/>
      <c r="H15" s="599"/>
      <c r="I15" s="599">
        <v>17</v>
      </c>
      <c r="J15" s="599">
        <v>1</v>
      </c>
      <c r="K15" s="599"/>
      <c r="L15" s="599"/>
      <c r="M15" s="599"/>
      <c r="N15" s="599">
        <v>2</v>
      </c>
      <c r="O15" s="599">
        <v>2</v>
      </c>
      <c r="P15" s="599">
        <v>6</v>
      </c>
      <c r="Q15" s="599">
        <v>6</v>
      </c>
      <c r="R15" s="599">
        <v>1</v>
      </c>
      <c r="S15" s="599"/>
      <c r="T15" s="599">
        <v>7</v>
      </c>
      <c r="U15" s="599">
        <v>10</v>
      </c>
      <c r="V15" s="599"/>
      <c r="W15" s="599">
        <v>17</v>
      </c>
      <c r="X15" s="599"/>
      <c r="Y15" s="599"/>
      <c r="Z15" s="598"/>
    </row>
    <row r="16" spans="1:29" s="386" customFormat="1" ht="28.5" customHeight="1">
      <c r="A16" s="604">
        <v>17</v>
      </c>
      <c r="B16" s="1836" t="s">
        <v>1298</v>
      </c>
      <c r="C16" s="1837"/>
      <c r="D16" s="1838"/>
      <c r="E16" s="602">
        <f t="shared" si="1"/>
        <v>10</v>
      </c>
      <c r="F16" s="602">
        <f t="shared" si="2"/>
        <v>0</v>
      </c>
      <c r="G16" s="599"/>
      <c r="H16" s="599"/>
      <c r="I16" s="599">
        <v>10</v>
      </c>
      <c r="J16" s="599">
        <v>0</v>
      </c>
      <c r="K16" s="599"/>
      <c r="L16" s="599"/>
      <c r="M16" s="599"/>
      <c r="N16" s="599">
        <v>1</v>
      </c>
      <c r="O16" s="599"/>
      <c r="P16" s="599">
        <v>2</v>
      </c>
      <c r="Q16" s="599">
        <v>7</v>
      </c>
      <c r="R16" s="599"/>
      <c r="S16" s="599"/>
      <c r="T16" s="599">
        <v>5</v>
      </c>
      <c r="U16" s="599">
        <v>5</v>
      </c>
      <c r="V16" s="599"/>
      <c r="W16" s="599">
        <v>10</v>
      </c>
      <c r="X16" s="599"/>
      <c r="Y16" s="599"/>
      <c r="Z16" s="598"/>
      <c r="AA16"/>
      <c r="AB16"/>
      <c r="AC16"/>
    </row>
    <row r="17" spans="1:29" ht="22.5" customHeight="1">
      <c r="A17" s="604">
        <f>+A16+1</f>
        <v>18</v>
      </c>
      <c r="B17" s="1836" t="s">
        <v>1299</v>
      </c>
      <c r="C17" s="1837"/>
      <c r="D17" s="1838"/>
      <c r="E17" s="602">
        <f t="shared" si="1"/>
        <v>10</v>
      </c>
      <c r="F17" s="602">
        <f t="shared" si="2"/>
        <v>0</v>
      </c>
      <c r="G17" s="599"/>
      <c r="H17" s="599"/>
      <c r="I17" s="599">
        <v>10</v>
      </c>
      <c r="J17" s="599">
        <v>0</v>
      </c>
      <c r="K17" s="599"/>
      <c r="L17" s="599"/>
      <c r="M17" s="599"/>
      <c r="N17" s="599">
        <v>1</v>
      </c>
      <c r="O17" s="599">
        <v>1</v>
      </c>
      <c r="P17" s="599">
        <v>5</v>
      </c>
      <c r="Q17" s="599">
        <v>3</v>
      </c>
      <c r="R17" s="599"/>
      <c r="S17" s="599"/>
      <c r="T17" s="599">
        <v>5</v>
      </c>
      <c r="U17" s="599">
        <v>5</v>
      </c>
      <c r="V17" s="599"/>
      <c r="W17" s="599">
        <v>10</v>
      </c>
      <c r="X17" s="599"/>
      <c r="Y17" s="599"/>
      <c r="Z17" s="598"/>
    </row>
    <row r="18" spans="1:29" ht="22.5" customHeight="1">
      <c r="A18" s="1833" t="s">
        <v>317</v>
      </c>
      <c r="B18" s="1834"/>
      <c r="C18" s="1834"/>
      <c r="D18" s="1835"/>
      <c r="E18" s="603">
        <f>SUM(E7:E17)</f>
        <v>121</v>
      </c>
      <c r="F18" s="603">
        <f>SUM(F7:F17)</f>
        <v>30</v>
      </c>
      <c r="G18" s="600">
        <f>SUM(G7:G17)</f>
        <v>0</v>
      </c>
      <c r="H18" s="600">
        <f t="shared" ref="H18:Y18" si="3">SUM(H7:H17)</f>
        <v>0</v>
      </c>
      <c r="I18" s="600">
        <f t="shared" si="3"/>
        <v>52</v>
      </c>
      <c r="J18" s="600">
        <f t="shared" si="3"/>
        <v>4</v>
      </c>
      <c r="K18" s="600">
        <f t="shared" si="3"/>
        <v>69</v>
      </c>
      <c r="L18" s="600">
        <f t="shared" si="3"/>
        <v>26</v>
      </c>
      <c r="M18" s="600">
        <f t="shared" si="3"/>
        <v>3</v>
      </c>
      <c r="N18" s="600">
        <f t="shared" si="3"/>
        <v>4</v>
      </c>
      <c r="O18" s="600">
        <f t="shared" si="3"/>
        <v>8</v>
      </c>
      <c r="P18" s="600">
        <f t="shared" si="3"/>
        <v>62</v>
      </c>
      <c r="Q18" s="600">
        <f t="shared" si="3"/>
        <v>39</v>
      </c>
      <c r="R18" s="600">
        <f t="shared" si="3"/>
        <v>5</v>
      </c>
      <c r="S18" s="600">
        <f t="shared" si="3"/>
        <v>0</v>
      </c>
      <c r="T18" s="600">
        <f t="shared" si="3"/>
        <v>36</v>
      </c>
      <c r="U18" s="600">
        <f t="shared" si="3"/>
        <v>65</v>
      </c>
      <c r="V18" s="600">
        <f t="shared" si="3"/>
        <v>20</v>
      </c>
      <c r="W18" s="600">
        <f>SUM(W7:W17)</f>
        <v>93</v>
      </c>
      <c r="X18" s="600">
        <f t="shared" si="3"/>
        <v>0</v>
      </c>
      <c r="Y18" s="600">
        <f t="shared" si="3"/>
        <v>28</v>
      </c>
      <c r="Z18" s="600">
        <f>SUM(Z7:Z17)</f>
        <v>0</v>
      </c>
      <c r="AA18" s="386"/>
      <c r="AB18" s="386"/>
      <c r="AC18" s="386"/>
    </row>
    <row r="20" spans="1:29">
      <c r="A20" s="1462"/>
      <c r="B20" s="1462"/>
      <c r="C20" s="1462"/>
      <c r="D20" s="1462"/>
      <c r="E20" s="1462"/>
      <c r="F20" s="1462"/>
      <c r="G20" s="1462"/>
      <c r="H20" s="1462"/>
      <c r="I20" s="1462"/>
      <c r="J20" s="1462"/>
      <c r="K20" s="1462"/>
      <c r="L20" s="1462"/>
      <c r="M20" s="1462"/>
      <c r="N20" s="1462"/>
      <c r="O20" s="1462"/>
      <c r="P20" s="1462"/>
      <c r="Q20" s="1462"/>
      <c r="R20" s="1462"/>
      <c r="S20" s="1462"/>
      <c r="T20" s="1462"/>
      <c r="U20" s="1462"/>
      <c r="V20" s="1462"/>
      <c r="W20" s="1462"/>
      <c r="X20" s="1462"/>
      <c r="Y20" s="1462"/>
      <c r="Z20" s="1462"/>
    </row>
  </sheetData>
  <mergeCells count="45">
    <mergeCell ref="B17:D17"/>
    <mergeCell ref="B11:D11"/>
    <mergeCell ref="B10:D10"/>
    <mergeCell ref="S4:S5"/>
    <mergeCell ref="P4:P5"/>
    <mergeCell ref="O4:O5"/>
    <mergeCell ref="B9:D9"/>
    <mergeCell ref="B6:D6"/>
    <mergeCell ref="B15:D15"/>
    <mergeCell ref="B16:D16"/>
    <mergeCell ref="B13:D13"/>
    <mergeCell ref="B14:D14"/>
    <mergeCell ref="B7:D7"/>
    <mergeCell ref="A20:Z20"/>
    <mergeCell ref="A2:A5"/>
    <mergeCell ref="B2:D5"/>
    <mergeCell ref="E2:F3"/>
    <mergeCell ref="G2:L2"/>
    <mergeCell ref="I3:J3"/>
    <mergeCell ref="K3:L3"/>
    <mergeCell ref="G4:G5"/>
    <mergeCell ref="N4:N5"/>
    <mergeCell ref="Z4:Z5"/>
    <mergeCell ref="T2:T5"/>
    <mergeCell ref="Q4:Q5"/>
    <mergeCell ref="K4:K5"/>
    <mergeCell ref="A18:D18"/>
    <mergeCell ref="B8:D8"/>
    <mergeCell ref="B12:D12"/>
    <mergeCell ref="A1:Z1"/>
    <mergeCell ref="V2:V5"/>
    <mergeCell ref="W4:X4"/>
    <mergeCell ref="Y4:Y5"/>
    <mergeCell ref="W2:Z3"/>
    <mergeCell ref="U2:U5"/>
    <mergeCell ref="G3:H3"/>
    <mergeCell ref="M2:S3"/>
    <mergeCell ref="R4:R5"/>
    <mergeCell ref="L4:L5"/>
    <mergeCell ref="I4:I5"/>
    <mergeCell ref="J4:J5"/>
    <mergeCell ref="M4:M5"/>
    <mergeCell ref="H4:H5"/>
    <mergeCell ref="E4:E5"/>
    <mergeCell ref="F4:F5"/>
  </mergeCells>
  <pageMargins left="0.7" right="0.7" top="0.75" bottom="0.43" header="0.3" footer="0.3"/>
  <pageSetup orientation="landscape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H25"/>
  <sheetViews>
    <sheetView workbookViewId="0">
      <selection activeCell="W17" sqref="W17"/>
    </sheetView>
  </sheetViews>
  <sheetFormatPr defaultRowHeight="12.75"/>
  <cols>
    <col min="1" max="1" width="3.5703125" customWidth="1"/>
    <col min="2" max="2" width="5.140625" customWidth="1"/>
    <col min="3" max="3" width="3.85546875" customWidth="1"/>
    <col min="4" max="4" width="6.42578125" customWidth="1"/>
    <col min="5" max="5" width="4.140625" customWidth="1"/>
    <col min="6" max="6" width="4.42578125" customWidth="1"/>
    <col min="7" max="7" width="4.28515625" customWidth="1"/>
    <col min="8" max="8" width="5.42578125" customWidth="1"/>
    <col min="9" max="9" width="4.140625" customWidth="1"/>
    <col min="10" max="10" width="5.7109375" customWidth="1"/>
    <col min="11" max="11" width="3.42578125" customWidth="1"/>
    <col min="12" max="12" width="5.42578125" customWidth="1"/>
    <col min="13" max="13" width="3.85546875" customWidth="1"/>
    <col min="14" max="14" width="7.42578125" customWidth="1"/>
    <col min="15" max="15" width="3.7109375" customWidth="1"/>
    <col min="16" max="17" width="3.5703125" customWidth="1"/>
    <col min="18" max="18" width="3.42578125" customWidth="1"/>
    <col min="19" max="20" width="3.7109375" customWidth="1"/>
    <col min="21" max="23" width="3.5703125" customWidth="1"/>
    <col min="24" max="24" width="3.42578125" customWidth="1"/>
    <col min="25" max="25" width="3.85546875" customWidth="1"/>
    <col min="26" max="26" width="3.140625" customWidth="1"/>
    <col min="27" max="27" width="4.5703125" customWidth="1"/>
    <col min="28" max="28" width="4.7109375" customWidth="1"/>
    <col min="29" max="29" width="4" customWidth="1"/>
    <col min="30" max="30" width="5.140625" customWidth="1"/>
    <col min="31" max="31" width="4.28515625" customWidth="1"/>
    <col min="32" max="32" width="5.5703125" customWidth="1"/>
    <col min="33" max="33" width="4.28515625" customWidth="1"/>
    <col min="34" max="34" width="5.28515625" customWidth="1"/>
  </cols>
  <sheetData>
    <row r="1" spans="1:34" ht="27" customHeight="1">
      <c r="A1" s="1842" t="s">
        <v>2261</v>
      </c>
      <c r="B1" s="1843"/>
      <c r="C1" s="1843"/>
      <c r="D1" s="1843"/>
      <c r="E1" s="1843"/>
      <c r="F1" s="1843"/>
      <c r="G1" s="1843"/>
      <c r="H1" s="1843"/>
      <c r="I1" s="1843"/>
      <c r="J1" s="1843"/>
      <c r="K1" s="1843"/>
      <c r="L1" s="1843"/>
      <c r="M1" s="1843"/>
      <c r="N1" s="1843"/>
      <c r="O1" s="1843"/>
      <c r="P1" s="1843"/>
      <c r="Q1" s="1843"/>
      <c r="R1" s="1843"/>
      <c r="S1" s="1843"/>
      <c r="T1" s="1843"/>
      <c r="U1" s="1843"/>
      <c r="V1" s="1843"/>
      <c r="W1" s="1843"/>
      <c r="X1" s="1843"/>
      <c r="Y1" s="1843"/>
      <c r="Z1" s="1843"/>
      <c r="AA1" s="1843"/>
      <c r="AB1" s="1843"/>
      <c r="AC1" s="1843"/>
      <c r="AD1" s="1843"/>
      <c r="AE1" s="1843"/>
      <c r="AF1" s="1843"/>
      <c r="AG1" s="1843"/>
      <c r="AH1" s="1843"/>
    </row>
    <row r="2" spans="1:34">
      <c r="A2" s="1150"/>
      <c r="B2" s="1150"/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1150"/>
      <c r="S2" s="1150"/>
      <c r="T2" s="1150"/>
      <c r="U2" s="1150"/>
      <c r="V2" s="1150"/>
      <c r="W2" s="1150"/>
      <c r="X2" s="1150"/>
      <c r="Y2" s="1150"/>
      <c r="Z2" s="1150"/>
      <c r="AA2" s="1150"/>
      <c r="AB2" s="1150"/>
      <c r="AC2" s="1150"/>
      <c r="AD2" s="1150"/>
      <c r="AE2" s="1150"/>
      <c r="AF2" s="1844" t="s">
        <v>1225</v>
      </c>
      <c r="AG2" s="1844"/>
      <c r="AH2" s="1844"/>
    </row>
    <row r="3" spans="1:34" ht="19.5" customHeight="1">
      <c r="A3" s="1845" t="s">
        <v>2243</v>
      </c>
      <c r="B3" s="1845" t="s">
        <v>2244</v>
      </c>
      <c r="C3" s="1846" t="s">
        <v>912</v>
      </c>
      <c r="D3" s="1847"/>
      <c r="E3" s="1847"/>
      <c r="F3" s="1847"/>
      <c r="G3" s="1847"/>
      <c r="H3" s="1847"/>
      <c r="I3" s="1847"/>
      <c r="J3" s="1847"/>
      <c r="K3" s="1847"/>
      <c r="L3" s="1848"/>
      <c r="M3" s="1849" t="s">
        <v>912</v>
      </c>
      <c r="N3" s="1850"/>
      <c r="O3" s="1850"/>
      <c r="P3" s="1850"/>
      <c r="Q3" s="1850"/>
      <c r="R3" s="1850"/>
      <c r="S3" s="1850"/>
      <c r="T3" s="1850"/>
      <c r="U3" s="1850"/>
      <c r="V3" s="1850"/>
      <c r="W3" s="1850"/>
      <c r="X3" s="1850"/>
      <c r="Y3" s="1850"/>
      <c r="Z3" s="1851"/>
      <c r="AA3" s="1849" t="s">
        <v>912</v>
      </c>
      <c r="AB3" s="1850"/>
      <c r="AC3" s="1850"/>
      <c r="AD3" s="1850"/>
      <c r="AE3" s="1850"/>
      <c r="AF3" s="1850"/>
      <c r="AG3" s="1850"/>
      <c r="AH3" s="1851"/>
    </row>
    <row r="4" spans="1:34" ht="60.75" customHeight="1">
      <c r="A4" s="1845"/>
      <c r="B4" s="1845"/>
      <c r="C4" s="1852" t="s">
        <v>1005</v>
      </c>
      <c r="D4" s="1853"/>
      <c r="E4" s="1854" t="s">
        <v>2245</v>
      </c>
      <c r="F4" s="1854"/>
      <c r="G4" s="1854" t="s">
        <v>2246</v>
      </c>
      <c r="H4" s="1854"/>
      <c r="I4" s="1854" t="s">
        <v>2247</v>
      </c>
      <c r="J4" s="1854"/>
      <c r="K4" s="1854" t="s">
        <v>2248</v>
      </c>
      <c r="L4" s="1854"/>
      <c r="M4" s="1852" t="s">
        <v>2249</v>
      </c>
      <c r="N4" s="1853"/>
      <c r="O4" s="1855" t="s">
        <v>2250</v>
      </c>
      <c r="P4" s="1855"/>
      <c r="Q4" s="1855" t="s">
        <v>2251</v>
      </c>
      <c r="R4" s="1855"/>
      <c r="S4" s="1855" t="s">
        <v>2252</v>
      </c>
      <c r="T4" s="1855"/>
      <c r="U4" s="1855" t="s">
        <v>2253</v>
      </c>
      <c r="V4" s="1855"/>
      <c r="W4" s="1855" t="s">
        <v>2254</v>
      </c>
      <c r="X4" s="1855"/>
      <c r="Y4" s="1855" t="s">
        <v>273</v>
      </c>
      <c r="Z4" s="1855"/>
      <c r="AA4" s="1852" t="s">
        <v>2255</v>
      </c>
      <c r="AB4" s="1853"/>
      <c r="AC4" s="1854" t="s">
        <v>2245</v>
      </c>
      <c r="AD4" s="1854"/>
      <c r="AE4" s="1854" t="s">
        <v>2246</v>
      </c>
      <c r="AF4" s="1854"/>
      <c r="AG4" s="1854" t="s">
        <v>2247</v>
      </c>
      <c r="AH4" s="1854"/>
    </row>
    <row r="5" spans="1:34" ht="40.5" customHeight="1">
      <c r="A5" s="1845"/>
      <c r="B5" s="1845"/>
      <c r="C5" s="1151" t="s">
        <v>276</v>
      </c>
      <c r="D5" s="1151" t="s">
        <v>1162</v>
      </c>
      <c r="E5" s="1151" t="s">
        <v>276</v>
      </c>
      <c r="F5" s="1151" t="s">
        <v>1162</v>
      </c>
      <c r="G5" s="1151" t="s">
        <v>276</v>
      </c>
      <c r="H5" s="1151" t="s">
        <v>1162</v>
      </c>
      <c r="I5" s="1151" t="s">
        <v>276</v>
      </c>
      <c r="J5" s="1151" t="s">
        <v>1162</v>
      </c>
      <c r="K5" s="1151" t="s">
        <v>276</v>
      </c>
      <c r="L5" s="1151" t="s">
        <v>1162</v>
      </c>
      <c r="M5" s="1151" t="s">
        <v>276</v>
      </c>
      <c r="N5" s="1151" t="s">
        <v>1162</v>
      </c>
      <c r="O5" s="1151" t="s">
        <v>276</v>
      </c>
      <c r="P5" s="1151" t="s">
        <v>1162</v>
      </c>
      <c r="Q5" s="1151" t="s">
        <v>276</v>
      </c>
      <c r="R5" s="1151" t="s">
        <v>1162</v>
      </c>
      <c r="S5" s="1151" t="s">
        <v>276</v>
      </c>
      <c r="T5" s="1151" t="s">
        <v>1162</v>
      </c>
      <c r="U5" s="1151" t="s">
        <v>276</v>
      </c>
      <c r="V5" s="1151" t="s">
        <v>1162</v>
      </c>
      <c r="W5" s="1151" t="s">
        <v>276</v>
      </c>
      <c r="X5" s="1151" t="s">
        <v>1162</v>
      </c>
      <c r="Y5" s="1151" t="s">
        <v>276</v>
      </c>
      <c r="Z5" s="1151" t="s">
        <v>1162</v>
      </c>
      <c r="AA5" s="1151" t="s">
        <v>276</v>
      </c>
      <c r="AB5" s="1151" t="s">
        <v>1162</v>
      </c>
      <c r="AC5" s="1151" t="s">
        <v>276</v>
      </c>
      <c r="AD5" s="1151" t="s">
        <v>1162</v>
      </c>
      <c r="AE5" s="1151" t="s">
        <v>276</v>
      </c>
      <c r="AF5" s="1151" t="s">
        <v>1162</v>
      </c>
      <c r="AG5" s="1151" t="s">
        <v>276</v>
      </c>
      <c r="AH5" s="1151" t="s">
        <v>1162</v>
      </c>
    </row>
    <row r="6" spans="1:34" ht="22.5" customHeight="1">
      <c r="A6" s="1152">
        <v>1</v>
      </c>
      <c r="B6" s="1153" t="s">
        <v>276</v>
      </c>
      <c r="C6" s="1153">
        <v>897</v>
      </c>
      <c r="D6" s="1153">
        <v>368</v>
      </c>
      <c r="E6" s="1153">
        <v>91</v>
      </c>
      <c r="F6" s="1153">
        <v>39</v>
      </c>
      <c r="G6" s="1153">
        <v>585</v>
      </c>
      <c r="H6" s="1153">
        <v>232</v>
      </c>
      <c r="I6" s="1153">
        <v>221</v>
      </c>
      <c r="J6" s="1153">
        <v>97</v>
      </c>
      <c r="K6" s="1153">
        <v>0</v>
      </c>
      <c r="L6" s="1153">
        <v>0</v>
      </c>
      <c r="M6" s="1153">
        <v>6</v>
      </c>
      <c r="N6" s="1153">
        <v>5</v>
      </c>
      <c r="O6" s="1153">
        <v>2</v>
      </c>
      <c r="P6" s="1153">
        <v>2</v>
      </c>
      <c r="Q6" s="1153">
        <v>0</v>
      </c>
      <c r="R6" s="1153">
        <v>0</v>
      </c>
      <c r="S6" s="1153">
        <v>2</v>
      </c>
      <c r="T6" s="1153">
        <v>2</v>
      </c>
      <c r="U6" s="1153">
        <v>1</v>
      </c>
      <c r="V6" s="1153">
        <v>1</v>
      </c>
      <c r="W6" s="1153">
        <v>0</v>
      </c>
      <c r="X6" s="1153">
        <v>0</v>
      </c>
      <c r="Y6" s="1153">
        <v>1</v>
      </c>
      <c r="Z6" s="1153">
        <v>0</v>
      </c>
      <c r="AA6" s="1153">
        <v>460</v>
      </c>
      <c r="AB6" s="1153">
        <v>176</v>
      </c>
      <c r="AC6" s="1153">
        <v>57</v>
      </c>
      <c r="AD6" s="1153">
        <v>15</v>
      </c>
      <c r="AE6" s="1153">
        <v>182</v>
      </c>
      <c r="AF6" s="1153">
        <v>64</v>
      </c>
      <c r="AG6" s="1153">
        <v>221</v>
      </c>
      <c r="AH6" s="1153">
        <v>97</v>
      </c>
    </row>
    <row r="7" spans="1:34" ht="22.5" customHeight="1">
      <c r="A7" s="1152">
        <v>2</v>
      </c>
      <c r="B7" s="1152" t="s">
        <v>2256</v>
      </c>
      <c r="C7" s="1152">
        <v>0</v>
      </c>
      <c r="D7" s="1152">
        <v>0</v>
      </c>
      <c r="E7" s="1152">
        <v>0</v>
      </c>
      <c r="F7" s="1152">
        <v>0</v>
      </c>
      <c r="G7" s="1152">
        <v>0</v>
      </c>
      <c r="H7" s="1152">
        <v>0</v>
      </c>
      <c r="I7" s="1152">
        <v>0</v>
      </c>
      <c r="J7" s="1152">
        <v>0</v>
      </c>
      <c r="K7" s="1152"/>
      <c r="L7" s="1152"/>
      <c r="M7" s="1152"/>
      <c r="N7" s="1152"/>
      <c r="O7" s="1152"/>
      <c r="P7" s="1152"/>
      <c r="Q7" s="1152"/>
      <c r="R7" s="1152"/>
      <c r="S7" s="1152"/>
      <c r="T7" s="1152"/>
      <c r="U7" s="1152"/>
      <c r="V7" s="1152"/>
      <c r="W7" s="1152"/>
      <c r="X7" s="1152"/>
      <c r="Y7" s="1152"/>
      <c r="Z7" s="1152"/>
      <c r="AA7" s="1152">
        <v>0</v>
      </c>
      <c r="AB7" s="1152">
        <v>0</v>
      </c>
      <c r="AC7" s="1152">
        <v>0</v>
      </c>
      <c r="AD7" s="1152">
        <v>0</v>
      </c>
      <c r="AE7" s="1152">
        <v>0</v>
      </c>
      <c r="AF7" s="1152">
        <v>0</v>
      </c>
      <c r="AG7" s="1152">
        <v>0</v>
      </c>
      <c r="AH7" s="1152">
        <v>0</v>
      </c>
    </row>
    <row r="8" spans="1:34" ht="22.5" customHeight="1">
      <c r="A8" s="1152">
        <v>3</v>
      </c>
      <c r="B8" s="1152">
        <v>14</v>
      </c>
      <c r="C8" s="1152">
        <v>5</v>
      </c>
      <c r="D8" s="1152">
        <v>2</v>
      </c>
      <c r="E8" s="1152">
        <v>0</v>
      </c>
      <c r="F8" s="1152">
        <v>0</v>
      </c>
      <c r="G8" s="1152">
        <v>5</v>
      </c>
      <c r="H8" s="1152">
        <v>2</v>
      </c>
      <c r="I8" s="1152">
        <v>0</v>
      </c>
      <c r="J8" s="1152">
        <v>0</v>
      </c>
      <c r="K8" s="1152"/>
      <c r="L8" s="1152"/>
      <c r="M8" s="1152"/>
      <c r="N8" s="1152"/>
      <c r="O8" s="1152"/>
      <c r="P8" s="1152"/>
      <c r="Q8" s="1152"/>
      <c r="R8" s="1152"/>
      <c r="S8" s="1152"/>
      <c r="T8" s="1152"/>
      <c r="U8" s="1152"/>
      <c r="V8" s="1152"/>
      <c r="W8" s="1152"/>
      <c r="X8" s="1152"/>
      <c r="Y8" s="1152"/>
      <c r="Z8" s="1152"/>
      <c r="AA8" s="1152">
        <v>5</v>
      </c>
      <c r="AB8" s="1152">
        <v>2</v>
      </c>
      <c r="AC8" s="1152">
        <v>0</v>
      </c>
      <c r="AD8" s="1152">
        <v>0</v>
      </c>
      <c r="AE8" s="1152">
        <v>5</v>
      </c>
      <c r="AF8" s="1152">
        <v>2</v>
      </c>
      <c r="AG8" s="1152">
        <v>0</v>
      </c>
      <c r="AH8" s="1152">
        <v>0</v>
      </c>
    </row>
    <row r="9" spans="1:34" ht="22.5" customHeight="1">
      <c r="A9" s="1152">
        <v>4</v>
      </c>
      <c r="B9" s="1152">
        <v>15</v>
      </c>
      <c r="C9" s="1152">
        <v>57</v>
      </c>
      <c r="D9" s="1152">
        <v>26</v>
      </c>
      <c r="E9" s="1152">
        <v>0</v>
      </c>
      <c r="F9" s="1152">
        <v>0</v>
      </c>
      <c r="G9" s="1152">
        <v>51</v>
      </c>
      <c r="H9" s="1152">
        <v>21</v>
      </c>
      <c r="I9" s="1152">
        <v>6</v>
      </c>
      <c r="J9" s="1152">
        <v>5</v>
      </c>
      <c r="K9" s="1152"/>
      <c r="L9" s="1152"/>
      <c r="M9" s="1152"/>
      <c r="N9" s="1152"/>
      <c r="O9" s="1152"/>
      <c r="P9" s="1152"/>
      <c r="Q9" s="1152"/>
      <c r="R9" s="1152"/>
      <c r="S9" s="1152"/>
      <c r="T9" s="1152"/>
      <c r="U9" s="1152"/>
      <c r="V9" s="1152"/>
      <c r="W9" s="1152"/>
      <c r="X9" s="1152"/>
      <c r="Y9" s="1152"/>
      <c r="Z9" s="1152"/>
      <c r="AA9" s="1152">
        <v>55</v>
      </c>
      <c r="AB9" s="1152">
        <v>26</v>
      </c>
      <c r="AC9" s="1152">
        <v>0</v>
      </c>
      <c r="AD9" s="1152">
        <v>0</v>
      </c>
      <c r="AE9" s="1152">
        <v>49</v>
      </c>
      <c r="AF9" s="1152">
        <v>21</v>
      </c>
      <c r="AG9" s="1152">
        <v>6</v>
      </c>
      <c r="AH9" s="1152">
        <v>5</v>
      </c>
    </row>
    <row r="10" spans="1:34" ht="22.5" customHeight="1">
      <c r="A10" s="1152">
        <v>5</v>
      </c>
      <c r="B10" s="1152">
        <v>16</v>
      </c>
      <c r="C10" s="1152">
        <v>102</v>
      </c>
      <c r="D10" s="1152">
        <v>41</v>
      </c>
      <c r="E10" s="1152">
        <v>0</v>
      </c>
      <c r="F10" s="1152">
        <v>0</v>
      </c>
      <c r="G10" s="1152">
        <v>95</v>
      </c>
      <c r="H10" s="1152">
        <v>35</v>
      </c>
      <c r="I10" s="1152">
        <v>7</v>
      </c>
      <c r="J10" s="1152">
        <v>6</v>
      </c>
      <c r="K10" s="1152"/>
      <c r="L10" s="1152"/>
      <c r="M10" s="1152"/>
      <c r="N10" s="1152"/>
      <c r="O10" s="1152"/>
      <c r="P10" s="1152"/>
      <c r="Q10" s="1152"/>
      <c r="R10" s="1152"/>
      <c r="S10" s="1152"/>
      <c r="T10" s="1152"/>
      <c r="U10" s="1152"/>
      <c r="V10" s="1152"/>
      <c r="W10" s="1152"/>
      <c r="X10" s="1152"/>
      <c r="Y10" s="1152"/>
      <c r="Z10" s="1152"/>
      <c r="AA10" s="1152">
        <v>63</v>
      </c>
      <c r="AB10" s="1152">
        <v>28</v>
      </c>
      <c r="AC10" s="1152">
        <v>0</v>
      </c>
      <c r="AD10" s="1152">
        <v>0</v>
      </c>
      <c r="AE10" s="1152">
        <v>56</v>
      </c>
      <c r="AF10" s="1152">
        <v>22</v>
      </c>
      <c r="AG10" s="1152">
        <v>7</v>
      </c>
      <c r="AH10" s="1152">
        <v>6</v>
      </c>
    </row>
    <row r="11" spans="1:34" ht="22.5" customHeight="1">
      <c r="A11" s="1152">
        <v>6</v>
      </c>
      <c r="B11" s="1152">
        <v>17</v>
      </c>
      <c r="C11" s="1152">
        <v>169</v>
      </c>
      <c r="D11" s="1152">
        <v>61</v>
      </c>
      <c r="E11" s="1152">
        <v>10</v>
      </c>
      <c r="F11" s="1152">
        <v>2</v>
      </c>
      <c r="G11" s="1152">
        <v>144</v>
      </c>
      <c r="H11" s="1152">
        <v>51</v>
      </c>
      <c r="I11" s="1152">
        <v>15</v>
      </c>
      <c r="J11" s="1152">
        <v>8</v>
      </c>
      <c r="K11" s="1152"/>
      <c r="L11" s="1152"/>
      <c r="M11" s="1152"/>
      <c r="N11" s="1152"/>
      <c r="O11" s="1152"/>
      <c r="P11" s="1152"/>
      <c r="Q11" s="1152"/>
      <c r="R11" s="1152"/>
      <c r="S11" s="1152"/>
      <c r="T11" s="1152"/>
      <c r="U11" s="1152"/>
      <c r="V11" s="1152"/>
      <c r="W11" s="1152"/>
      <c r="X11" s="1152"/>
      <c r="Y11" s="1152"/>
      <c r="Z11" s="1152"/>
      <c r="AA11" s="1152">
        <v>62</v>
      </c>
      <c r="AB11" s="1152">
        <v>20</v>
      </c>
      <c r="AC11" s="1152">
        <v>10</v>
      </c>
      <c r="AD11" s="1152">
        <v>2</v>
      </c>
      <c r="AE11" s="1152">
        <v>37</v>
      </c>
      <c r="AF11" s="1152">
        <v>10</v>
      </c>
      <c r="AG11" s="1152">
        <v>15</v>
      </c>
      <c r="AH11" s="1152">
        <v>8</v>
      </c>
    </row>
    <row r="12" spans="1:34" ht="22.5" customHeight="1">
      <c r="A12" s="1152">
        <v>7</v>
      </c>
      <c r="B12" s="1152">
        <v>18</v>
      </c>
      <c r="C12" s="1152">
        <v>189</v>
      </c>
      <c r="D12" s="1152">
        <v>80</v>
      </c>
      <c r="E12" s="1152">
        <v>18</v>
      </c>
      <c r="F12" s="1152">
        <v>4</v>
      </c>
      <c r="G12" s="1152">
        <v>147</v>
      </c>
      <c r="H12" s="1152">
        <v>66</v>
      </c>
      <c r="I12" s="1152">
        <v>24</v>
      </c>
      <c r="J12" s="1152">
        <v>10</v>
      </c>
      <c r="K12" s="1152"/>
      <c r="L12" s="1152"/>
      <c r="M12" s="1152">
        <v>2</v>
      </c>
      <c r="N12" s="1152">
        <v>2</v>
      </c>
      <c r="O12" s="1152">
        <v>2</v>
      </c>
      <c r="P12" s="1152">
        <v>2</v>
      </c>
      <c r="Q12" s="1152"/>
      <c r="R12" s="1152"/>
      <c r="S12" s="1152"/>
      <c r="T12" s="1152"/>
      <c r="U12" s="1152"/>
      <c r="V12" s="1152"/>
      <c r="W12" s="1152"/>
      <c r="X12" s="1152"/>
      <c r="Y12" s="1152"/>
      <c r="Z12" s="1152"/>
      <c r="AA12" s="1152">
        <v>63</v>
      </c>
      <c r="AB12" s="1152">
        <v>20</v>
      </c>
      <c r="AC12" s="1152">
        <v>18</v>
      </c>
      <c r="AD12" s="1152">
        <v>4</v>
      </c>
      <c r="AE12" s="1152">
        <v>21</v>
      </c>
      <c r="AF12" s="1152">
        <v>6</v>
      </c>
      <c r="AG12" s="1152">
        <v>24</v>
      </c>
      <c r="AH12" s="1152">
        <v>10</v>
      </c>
    </row>
    <row r="13" spans="1:34" ht="22.5" customHeight="1">
      <c r="A13" s="1152">
        <v>8</v>
      </c>
      <c r="B13" s="1152">
        <v>19</v>
      </c>
      <c r="C13" s="1152">
        <v>110</v>
      </c>
      <c r="D13" s="1152">
        <v>49</v>
      </c>
      <c r="E13" s="1152">
        <v>10</v>
      </c>
      <c r="F13" s="1152">
        <v>6</v>
      </c>
      <c r="G13" s="1152">
        <v>81</v>
      </c>
      <c r="H13" s="1152">
        <v>32</v>
      </c>
      <c r="I13" s="1152">
        <v>19</v>
      </c>
      <c r="J13" s="1152">
        <v>11</v>
      </c>
      <c r="K13" s="1152"/>
      <c r="L13" s="1152"/>
      <c r="M13" s="1152">
        <v>2</v>
      </c>
      <c r="N13" s="1152">
        <v>2</v>
      </c>
      <c r="O13" s="1152"/>
      <c r="P13" s="1152"/>
      <c r="Q13" s="1152"/>
      <c r="R13" s="1152"/>
      <c r="S13" s="1152">
        <v>1</v>
      </c>
      <c r="T13" s="1152">
        <v>1</v>
      </c>
      <c r="U13" s="1152">
        <v>1</v>
      </c>
      <c r="V13" s="1152">
        <v>1</v>
      </c>
      <c r="W13" s="1152"/>
      <c r="X13" s="1152"/>
      <c r="Y13" s="1152"/>
      <c r="Z13" s="1152"/>
      <c r="AA13" s="1152">
        <v>38</v>
      </c>
      <c r="AB13" s="1152">
        <v>17</v>
      </c>
      <c r="AC13" s="1152">
        <v>8</v>
      </c>
      <c r="AD13" s="1152">
        <v>4</v>
      </c>
      <c r="AE13" s="1152">
        <v>11</v>
      </c>
      <c r="AF13" s="1152">
        <v>2</v>
      </c>
      <c r="AG13" s="1152">
        <v>19</v>
      </c>
      <c r="AH13" s="1152">
        <v>11</v>
      </c>
    </row>
    <row r="14" spans="1:34" ht="22.5" customHeight="1">
      <c r="A14" s="1152">
        <v>9</v>
      </c>
      <c r="B14" s="1152">
        <v>20</v>
      </c>
      <c r="C14" s="1152">
        <v>52</v>
      </c>
      <c r="D14" s="1152">
        <v>17</v>
      </c>
      <c r="E14" s="1152">
        <v>10</v>
      </c>
      <c r="F14" s="1152">
        <v>5</v>
      </c>
      <c r="G14" s="1152">
        <v>28</v>
      </c>
      <c r="H14" s="1152">
        <v>11</v>
      </c>
      <c r="I14" s="1152">
        <v>14</v>
      </c>
      <c r="J14" s="1152">
        <v>1</v>
      </c>
      <c r="K14" s="1152"/>
      <c r="L14" s="1152"/>
      <c r="M14" s="1152"/>
      <c r="N14" s="1152"/>
      <c r="O14" s="1152"/>
      <c r="P14" s="1152"/>
      <c r="Q14" s="1152"/>
      <c r="R14" s="1152"/>
      <c r="S14" s="1152"/>
      <c r="T14" s="1152"/>
      <c r="U14" s="1152"/>
      <c r="V14" s="1152"/>
      <c r="W14" s="1152"/>
      <c r="X14" s="1152"/>
      <c r="Y14" s="1152"/>
      <c r="Z14" s="1152"/>
      <c r="AA14" s="1152">
        <v>20</v>
      </c>
      <c r="AB14" s="1152">
        <v>2</v>
      </c>
      <c r="AC14" s="1152">
        <v>4</v>
      </c>
      <c r="AD14" s="1152">
        <v>0</v>
      </c>
      <c r="AE14" s="1152">
        <v>2</v>
      </c>
      <c r="AF14" s="1152">
        <v>1</v>
      </c>
      <c r="AG14" s="1152">
        <v>14</v>
      </c>
      <c r="AH14" s="1152">
        <v>1</v>
      </c>
    </row>
    <row r="15" spans="1:34" ht="22.5" customHeight="1">
      <c r="A15" s="1152">
        <v>10</v>
      </c>
      <c r="B15" s="1152">
        <v>21</v>
      </c>
      <c r="C15" s="1152">
        <v>32</v>
      </c>
      <c r="D15" s="1152">
        <v>14</v>
      </c>
      <c r="E15" s="1152">
        <v>8</v>
      </c>
      <c r="F15" s="1152">
        <v>2</v>
      </c>
      <c r="G15" s="1152">
        <v>13</v>
      </c>
      <c r="H15" s="1152">
        <v>7</v>
      </c>
      <c r="I15" s="1152">
        <v>11</v>
      </c>
      <c r="J15" s="1152">
        <v>5</v>
      </c>
      <c r="K15" s="1152"/>
      <c r="L15" s="1152"/>
      <c r="M15" s="1152">
        <v>2</v>
      </c>
      <c r="N15" s="1152">
        <v>1</v>
      </c>
      <c r="O15" s="1152"/>
      <c r="P15" s="1152"/>
      <c r="Q15" s="1152"/>
      <c r="R15" s="1152"/>
      <c r="S15" s="1152">
        <v>1</v>
      </c>
      <c r="T15" s="1152">
        <v>1</v>
      </c>
      <c r="U15" s="1152"/>
      <c r="V15" s="1152"/>
      <c r="W15" s="1152"/>
      <c r="X15" s="1152"/>
      <c r="Y15" s="1152">
        <v>1</v>
      </c>
      <c r="Z15" s="1152"/>
      <c r="AA15" s="1152">
        <v>12</v>
      </c>
      <c r="AB15" s="1152">
        <v>5</v>
      </c>
      <c r="AC15" s="1152">
        <v>1</v>
      </c>
      <c r="AD15" s="1152">
        <v>0</v>
      </c>
      <c r="AE15" s="1152">
        <v>0</v>
      </c>
      <c r="AF15" s="1152">
        <v>0</v>
      </c>
      <c r="AG15" s="1152">
        <v>11</v>
      </c>
      <c r="AH15" s="1152">
        <v>5</v>
      </c>
    </row>
    <row r="16" spans="1:34" ht="22.5" customHeight="1">
      <c r="A16" s="1152">
        <v>11</v>
      </c>
      <c r="B16" s="1152">
        <v>22</v>
      </c>
      <c r="C16" s="1152">
        <v>24</v>
      </c>
      <c r="D16" s="1152">
        <v>11</v>
      </c>
      <c r="E16" s="1152">
        <v>4</v>
      </c>
      <c r="F16" s="1152">
        <v>3</v>
      </c>
      <c r="G16" s="1152">
        <v>8</v>
      </c>
      <c r="H16" s="1152">
        <v>2</v>
      </c>
      <c r="I16" s="1152">
        <v>12</v>
      </c>
      <c r="J16" s="1152">
        <v>6</v>
      </c>
      <c r="K16" s="1152"/>
      <c r="L16" s="1152"/>
      <c r="M16" s="1152"/>
      <c r="N16" s="1152"/>
      <c r="O16" s="1152"/>
      <c r="P16" s="1152"/>
      <c r="Q16" s="1152"/>
      <c r="R16" s="1152"/>
      <c r="S16" s="1152"/>
      <c r="T16" s="1152"/>
      <c r="U16" s="1152"/>
      <c r="V16" s="1152"/>
      <c r="W16" s="1152"/>
      <c r="X16" s="1152"/>
      <c r="Y16" s="1152"/>
      <c r="Z16" s="1152"/>
      <c r="AA16" s="1152">
        <v>15</v>
      </c>
      <c r="AB16" s="1152">
        <v>8</v>
      </c>
      <c r="AC16" s="1152">
        <v>3</v>
      </c>
      <c r="AD16" s="1152">
        <v>2</v>
      </c>
      <c r="AE16" s="1152">
        <v>0</v>
      </c>
      <c r="AF16" s="1152">
        <v>0</v>
      </c>
      <c r="AG16" s="1152">
        <v>12</v>
      </c>
      <c r="AH16" s="1152">
        <v>6</v>
      </c>
    </row>
    <row r="17" spans="1:34" ht="22.5" customHeight="1">
      <c r="A17" s="1152">
        <v>12</v>
      </c>
      <c r="B17" s="1152">
        <v>23</v>
      </c>
      <c r="C17" s="1152">
        <v>24</v>
      </c>
      <c r="D17" s="1152">
        <v>16</v>
      </c>
      <c r="E17" s="1152">
        <v>9</v>
      </c>
      <c r="F17" s="1152">
        <v>7</v>
      </c>
      <c r="G17" s="1152">
        <v>4</v>
      </c>
      <c r="H17" s="1152">
        <v>1</v>
      </c>
      <c r="I17" s="1152">
        <v>11</v>
      </c>
      <c r="J17" s="1152">
        <v>8</v>
      </c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>
        <v>14</v>
      </c>
      <c r="AB17" s="1152">
        <v>9</v>
      </c>
      <c r="AC17" s="1152">
        <v>3</v>
      </c>
      <c r="AD17" s="1152">
        <v>1</v>
      </c>
      <c r="AE17" s="1152">
        <v>0</v>
      </c>
      <c r="AF17" s="1152">
        <v>0</v>
      </c>
      <c r="AG17" s="1152">
        <v>11</v>
      </c>
      <c r="AH17" s="1152">
        <v>8</v>
      </c>
    </row>
    <row r="18" spans="1:34" ht="22.5" customHeight="1">
      <c r="A18" s="1152">
        <v>13</v>
      </c>
      <c r="B18" s="1152">
        <v>24</v>
      </c>
      <c r="C18" s="1152">
        <v>18</v>
      </c>
      <c r="D18" s="1152">
        <v>9</v>
      </c>
      <c r="E18" s="1152">
        <v>3</v>
      </c>
      <c r="F18" s="1152">
        <v>1</v>
      </c>
      <c r="G18" s="1152">
        <v>2</v>
      </c>
      <c r="H18" s="1152">
        <v>1</v>
      </c>
      <c r="I18" s="1152">
        <v>13</v>
      </c>
      <c r="J18" s="1152">
        <v>7</v>
      </c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>
        <v>14</v>
      </c>
      <c r="AB18" s="1152">
        <v>7</v>
      </c>
      <c r="AC18" s="1152">
        <v>1</v>
      </c>
      <c r="AD18" s="1152">
        <v>0</v>
      </c>
      <c r="AE18" s="1152">
        <v>0</v>
      </c>
      <c r="AF18" s="1152">
        <v>0</v>
      </c>
      <c r="AG18" s="1152">
        <v>13</v>
      </c>
      <c r="AH18" s="1152">
        <v>7</v>
      </c>
    </row>
    <row r="19" spans="1:34" ht="22.5" customHeight="1">
      <c r="A19" s="1152">
        <v>14</v>
      </c>
      <c r="B19" s="1152" t="s">
        <v>2257</v>
      </c>
      <c r="C19" s="1152">
        <v>59</v>
      </c>
      <c r="D19" s="1152">
        <v>19</v>
      </c>
      <c r="E19" s="1152">
        <v>7</v>
      </c>
      <c r="F19" s="1152">
        <v>5</v>
      </c>
      <c r="G19" s="1152">
        <v>7</v>
      </c>
      <c r="H19" s="1152">
        <v>3</v>
      </c>
      <c r="I19" s="1152">
        <v>45</v>
      </c>
      <c r="J19" s="1152">
        <v>11</v>
      </c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>
        <v>50</v>
      </c>
      <c r="AB19" s="1152">
        <v>13</v>
      </c>
      <c r="AC19" s="1152">
        <v>4</v>
      </c>
      <c r="AD19" s="1152">
        <v>2</v>
      </c>
      <c r="AE19" s="1152">
        <v>1</v>
      </c>
      <c r="AF19" s="1152">
        <v>0</v>
      </c>
      <c r="AG19" s="1152">
        <v>45</v>
      </c>
      <c r="AH19" s="1152">
        <v>11</v>
      </c>
    </row>
    <row r="20" spans="1:34" ht="22.5" customHeight="1">
      <c r="A20" s="1152">
        <v>15</v>
      </c>
      <c r="B20" s="1152" t="s">
        <v>2258</v>
      </c>
      <c r="C20" s="1152">
        <v>31</v>
      </c>
      <c r="D20" s="1152">
        <v>14</v>
      </c>
      <c r="E20" s="1152">
        <v>3</v>
      </c>
      <c r="F20" s="1152">
        <v>2</v>
      </c>
      <c r="G20" s="1152">
        <v>0</v>
      </c>
      <c r="H20" s="1152">
        <v>0</v>
      </c>
      <c r="I20" s="1152">
        <v>28</v>
      </c>
      <c r="J20" s="1152">
        <v>12</v>
      </c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>
        <v>29</v>
      </c>
      <c r="AB20" s="1152">
        <v>12</v>
      </c>
      <c r="AC20" s="1152">
        <v>1</v>
      </c>
      <c r="AD20" s="1152">
        <v>0</v>
      </c>
      <c r="AE20" s="1152">
        <v>0</v>
      </c>
      <c r="AF20" s="1152">
        <v>0</v>
      </c>
      <c r="AG20" s="1152">
        <v>28</v>
      </c>
      <c r="AH20" s="1152">
        <v>12</v>
      </c>
    </row>
    <row r="21" spans="1:34" ht="22.5" customHeight="1">
      <c r="A21" s="1152">
        <v>16</v>
      </c>
      <c r="B21" s="1152" t="s">
        <v>2259</v>
      </c>
      <c r="C21" s="1152">
        <v>16</v>
      </c>
      <c r="D21" s="1152">
        <v>7</v>
      </c>
      <c r="E21" s="1152">
        <v>6</v>
      </c>
      <c r="F21" s="1152">
        <v>2</v>
      </c>
      <c r="G21" s="1152">
        <v>0</v>
      </c>
      <c r="H21" s="1152">
        <v>0</v>
      </c>
      <c r="I21" s="1152">
        <v>10</v>
      </c>
      <c r="J21" s="1152">
        <v>5</v>
      </c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>
        <v>11</v>
      </c>
      <c r="AB21" s="1152">
        <v>5</v>
      </c>
      <c r="AC21" s="1152">
        <v>1</v>
      </c>
      <c r="AD21" s="1152">
        <v>0</v>
      </c>
      <c r="AE21" s="1152">
        <v>0</v>
      </c>
      <c r="AF21" s="1152">
        <v>0</v>
      </c>
      <c r="AG21" s="1152">
        <v>10</v>
      </c>
      <c r="AH21" s="1152">
        <v>5</v>
      </c>
    </row>
    <row r="22" spans="1:34" ht="22.5" customHeight="1">
      <c r="A22" s="1152">
        <v>17</v>
      </c>
      <c r="B22" s="1152" t="s">
        <v>2260</v>
      </c>
      <c r="C22" s="1152">
        <v>9</v>
      </c>
      <c r="D22" s="1152">
        <v>2</v>
      </c>
      <c r="E22" s="1152">
        <v>3</v>
      </c>
      <c r="F22" s="1152">
        <v>0</v>
      </c>
      <c r="G22" s="1152">
        <v>0</v>
      </c>
      <c r="H22" s="1152">
        <v>0</v>
      </c>
      <c r="I22" s="1152">
        <v>6</v>
      </c>
      <c r="J22" s="1152">
        <v>2</v>
      </c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>
        <v>9</v>
      </c>
      <c r="AB22" s="1152">
        <v>2</v>
      </c>
      <c r="AC22" s="1152">
        <v>3</v>
      </c>
      <c r="AD22" s="1152">
        <v>0</v>
      </c>
      <c r="AE22" s="1152">
        <v>0</v>
      </c>
      <c r="AF22" s="1152">
        <v>0</v>
      </c>
      <c r="AG22" s="1152">
        <v>6</v>
      </c>
      <c r="AH22" s="1152">
        <v>2</v>
      </c>
    </row>
    <row r="23" spans="1:34">
      <c r="A23" s="1150"/>
      <c r="B23" s="1150"/>
      <c r="C23" s="1150"/>
      <c r="D23" s="1150"/>
      <c r="E23" s="1150"/>
      <c r="F23" s="1150"/>
      <c r="G23" s="1150"/>
      <c r="H23" s="1150"/>
      <c r="I23" s="1150"/>
      <c r="J23" s="1150"/>
      <c r="K23" s="1150"/>
      <c r="L23" s="1150"/>
      <c r="M23" s="1150"/>
      <c r="N23" s="1150"/>
      <c r="P23" s="1150"/>
      <c r="Q23" s="1150"/>
      <c r="R23" s="1150"/>
      <c r="S23" s="1150"/>
      <c r="T23" s="1150"/>
      <c r="U23" s="1150"/>
      <c r="V23" s="1150"/>
      <c r="W23" s="1150"/>
      <c r="X23" s="1150"/>
      <c r="Y23" s="1150"/>
      <c r="Z23" s="1150"/>
      <c r="AA23" s="1150"/>
      <c r="AB23" s="1150"/>
      <c r="AC23" s="1150"/>
      <c r="AD23" s="1150"/>
      <c r="AE23" s="1150"/>
      <c r="AF23" s="1150"/>
      <c r="AG23" s="1150"/>
      <c r="AH23" s="1150"/>
    </row>
    <row r="25" spans="1:34">
      <c r="O25" s="1148">
        <v>61</v>
      </c>
    </row>
  </sheetData>
  <mergeCells count="23">
    <mergeCell ref="AG4:AH4"/>
    <mergeCell ref="U4:V4"/>
    <mergeCell ref="W4:X4"/>
    <mergeCell ref="Y4:Z4"/>
    <mergeCell ref="AA4:AB4"/>
    <mergeCell ref="AC4:AD4"/>
    <mergeCell ref="AE4:AF4"/>
    <mergeCell ref="A1:AH1"/>
    <mergeCell ref="AF2:AH2"/>
    <mergeCell ref="A3:A5"/>
    <mergeCell ref="B3:B5"/>
    <mergeCell ref="C3:L3"/>
    <mergeCell ref="M3:Z3"/>
    <mergeCell ref="AA3:AH3"/>
    <mergeCell ref="C4:D4"/>
    <mergeCell ref="E4:F4"/>
    <mergeCell ref="G4:H4"/>
    <mergeCell ref="I4:J4"/>
    <mergeCell ref="K4:L4"/>
    <mergeCell ref="M4:N4"/>
    <mergeCell ref="O4:P4"/>
    <mergeCell ref="Q4:R4"/>
    <mergeCell ref="S4:T4"/>
  </mergeCells>
  <pageMargins left="0.7" right="0.7" top="0.75" bottom="0.38" header="0.3" footer="0.3"/>
  <pageSetup paperSize="9" scale="9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39"/>
  <sheetViews>
    <sheetView workbookViewId="0">
      <selection activeCell="F35" sqref="F35"/>
    </sheetView>
  </sheetViews>
  <sheetFormatPr defaultRowHeight="12.75"/>
  <cols>
    <col min="1" max="1" width="5.28515625" customWidth="1"/>
    <col min="2" max="2" width="24.5703125" customWidth="1"/>
    <col min="3" max="3" width="7.140625" customWidth="1"/>
    <col min="4" max="4" width="5.140625" customWidth="1"/>
    <col min="5" max="5" width="5" customWidth="1"/>
    <col min="6" max="6" width="4.85546875" customWidth="1"/>
    <col min="7" max="8" width="5.140625" customWidth="1"/>
    <col min="9" max="11" width="4.85546875" customWidth="1"/>
    <col min="12" max="12" width="5" customWidth="1"/>
    <col min="13" max="13" width="5.28515625" customWidth="1"/>
  </cols>
  <sheetData>
    <row r="1" spans="1:13" ht="40.5" customHeight="1">
      <c r="A1" s="1842" t="s">
        <v>2262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</row>
    <row r="2" spans="1:13">
      <c r="A2" s="1150"/>
      <c r="B2" s="1150"/>
      <c r="C2" s="1150"/>
      <c r="D2" s="1150"/>
      <c r="E2" s="1150"/>
      <c r="F2" s="1150"/>
      <c r="I2" s="1150"/>
      <c r="J2" s="1150"/>
      <c r="K2" s="1150"/>
      <c r="L2" s="1844" t="s">
        <v>1225</v>
      </c>
      <c r="M2" s="1844"/>
    </row>
    <row r="3" spans="1:13">
      <c r="A3" s="1150"/>
      <c r="B3" s="1150"/>
      <c r="C3" s="1150"/>
      <c r="D3" s="1150"/>
      <c r="E3" s="1150"/>
      <c r="F3" s="1150"/>
      <c r="G3" s="1150"/>
      <c r="H3" s="1150"/>
      <c r="I3" s="1150"/>
      <c r="J3" s="1150"/>
      <c r="K3" s="1150"/>
      <c r="L3" s="1150"/>
      <c r="M3" s="1150"/>
    </row>
    <row r="4" spans="1:13" ht="26.25" customHeight="1">
      <c r="A4" s="1845" t="s">
        <v>2263</v>
      </c>
      <c r="B4" s="1854" t="s">
        <v>2264</v>
      </c>
      <c r="C4" s="1845" t="s">
        <v>276</v>
      </c>
      <c r="D4" s="1854" t="s">
        <v>2281</v>
      </c>
      <c r="E4" s="1845"/>
      <c r="F4" s="1845"/>
      <c r="G4" s="1845"/>
      <c r="H4" s="1854" t="s">
        <v>2282</v>
      </c>
      <c r="I4" s="1854"/>
      <c r="J4" s="1854"/>
      <c r="K4" s="1854"/>
      <c r="L4" s="1854" t="s">
        <v>2247</v>
      </c>
      <c r="M4" s="1854"/>
    </row>
    <row r="5" spans="1:13" ht="18" customHeight="1">
      <c r="A5" s="1845"/>
      <c r="B5" s="1854"/>
      <c r="C5" s="1845"/>
      <c r="D5" s="1154"/>
      <c r="E5" s="1152" t="s">
        <v>914</v>
      </c>
      <c r="F5" s="1152" t="s">
        <v>915</v>
      </c>
      <c r="G5" s="1152" t="s">
        <v>916</v>
      </c>
      <c r="H5" s="1152"/>
      <c r="I5" s="1152" t="s">
        <v>914</v>
      </c>
      <c r="J5" s="1152" t="s">
        <v>915</v>
      </c>
      <c r="K5" s="1152" t="s">
        <v>916</v>
      </c>
      <c r="L5" s="1155"/>
      <c r="M5" s="1152" t="s">
        <v>914</v>
      </c>
    </row>
    <row r="6" spans="1:13">
      <c r="A6" s="1845"/>
      <c r="B6" s="1156" t="s">
        <v>2265</v>
      </c>
      <c r="C6" s="1845"/>
      <c r="D6" s="1152" t="s">
        <v>914</v>
      </c>
      <c r="E6" s="1152" t="s">
        <v>915</v>
      </c>
      <c r="F6" s="1152" t="s">
        <v>916</v>
      </c>
      <c r="G6" s="1157"/>
      <c r="H6" s="1152" t="s">
        <v>914</v>
      </c>
      <c r="I6" s="1152" t="s">
        <v>915</v>
      </c>
      <c r="J6" s="1152" t="s">
        <v>916</v>
      </c>
      <c r="K6" s="1157"/>
      <c r="L6" s="1152" t="s">
        <v>914</v>
      </c>
      <c r="M6" s="1158"/>
    </row>
    <row r="7" spans="1:13" ht="21" customHeight="1">
      <c r="A7" s="1858" t="s">
        <v>2266</v>
      </c>
      <c r="B7" s="1858"/>
      <c r="C7" s="1153">
        <v>1046</v>
      </c>
      <c r="D7" s="1153"/>
      <c r="E7" s="1153">
        <v>7</v>
      </c>
      <c r="F7" s="1153">
        <v>25</v>
      </c>
      <c r="G7" s="1153">
        <v>30</v>
      </c>
      <c r="H7" s="1153"/>
      <c r="I7" s="1153">
        <v>179</v>
      </c>
      <c r="J7" s="1153">
        <v>241</v>
      </c>
      <c r="K7" s="1153">
        <v>257</v>
      </c>
      <c r="L7" s="1153"/>
      <c r="M7" s="1153">
        <v>307</v>
      </c>
    </row>
    <row r="8" spans="1:13" ht="21" customHeight="1">
      <c r="A8" s="1856" t="s">
        <v>962</v>
      </c>
      <c r="B8" s="1856"/>
      <c r="C8" s="1152">
        <v>444</v>
      </c>
      <c r="D8" s="1152"/>
      <c r="E8" s="1152">
        <v>3</v>
      </c>
      <c r="F8" s="1152">
        <v>19</v>
      </c>
      <c r="G8" s="1152">
        <v>18</v>
      </c>
      <c r="H8" s="1152"/>
      <c r="I8" s="1152">
        <v>69</v>
      </c>
      <c r="J8" s="1152">
        <v>100</v>
      </c>
      <c r="K8" s="1152">
        <v>134</v>
      </c>
      <c r="L8" s="1152"/>
      <c r="M8" s="1152">
        <v>101</v>
      </c>
    </row>
    <row r="9" spans="1:13" ht="21" customHeight="1">
      <c r="A9" s="1858" t="s">
        <v>2267</v>
      </c>
      <c r="B9" s="1858"/>
      <c r="C9" s="1153">
        <v>543</v>
      </c>
      <c r="D9" s="1153">
        <v>57</v>
      </c>
      <c r="E9" s="1153">
        <v>3</v>
      </c>
      <c r="F9" s="1153">
        <v>5</v>
      </c>
      <c r="G9" s="1153"/>
      <c r="H9" s="1153">
        <v>182</v>
      </c>
      <c r="I9" s="1153">
        <v>12</v>
      </c>
      <c r="J9" s="1153">
        <v>4</v>
      </c>
      <c r="K9" s="1153"/>
      <c r="L9" s="1153">
        <v>221</v>
      </c>
      <c r="M9" s="1153">
        <v>59</v>
      </c>
    </row>
    <row r="10" spans="1:13" ht="21" customHeight="1">
      <c r="A10" s="1856" t="s">
        <v>962</v>
      </c>
      <c r="B10" s="1856"/>
      <c r="C10" s="1152">
        <v>193</v>
      </c>
      <c r="D10" s="1152">
        <v>15</v>
      </c>
      <c r="E10" s="1152">
        <v>1</v>
      </c>
      <c r="F10" s="1152">
        <v>3</v>
      </c>
      <c r="G10" s="1152"/>
      <c r="H10" s="1152">
        <v>64</v>
      </c>
      <c r="I10" s="1152">
        <v>6</v>
      </c>
      <c r="J10" s="1152">
        <v>2</v>
      </c>
      <c r="K10" s="1152"/>
      <c r="L10" s="1152">
        <v>97</v>
      </c>
      <c r="M10" s="1152">
        <v>5</v>
      </c>
    </row>
    <row r="11" spans="1:13" ht="19.5" customHeight="1">
      <c r="A11" s="1857" t="s">
        <v>2268</v>
      </c>
      <c r="B11" s="1160" t="s">
        <v>2269</v>
      </c>
      <c r="C11" s="1152">
        <v>460</v>
      </c>
      <c r="D11" s="1152">
        <v>57</v>
      </c>
      <c r="E11" s="1152"/>
      <c r="F11" s="1152"/>
      <c r="G11" s="1152"/>
      <c r="H11" s="1152">
        <v>182</v>
      </c>
      <c r="I11" s="1152"/>
      <c r="J11" s="1152"/>
      <c r="K11" s="1152"/>
      <c r="L11" s="1152">
        <v>221</v>
      </c>
      <c r="M11" s="1152"/>
    </row>
    <row r="12" spans="1:13" ht="19.5" customHeight="1">
      <c r="A12" s="1857"/>
      <c r="B12" s="1160" t="s">
        <v>962</v>
      </c>
      <c r="C12" s="1152">
        <v>176</v>
      </c>
      <c r="D12" s="1152">
        <v>15</v>
      </c>
      <c r="E12" s="1152"/>
      <c r="F12" s="1152"/>
      <c r="G12" s="1152"/>
      <c r="H12" s="1152">
        <v>64</v>
      </c>
      <c r="I12" s="1152"/>
      <c r="J12" s="1152"/>
      <c r="K12" s="1152"/>
      <c r="L12" s="1152">
        <v>97</v>
      </c>
      <c r="M12" s="1152"/>
    </row>
    <row r="13" spans="1:13" ht="19.5" customHeight="1">
      <c r="A13" s="1857"/>
      <c r="B13" s="1160" t="s">
        <v>2270</v>
      </c>
      <c r="C13" s="1152">
        <v>3</v>
      </c>
      <c r="D13" s="1152"/>
      <c r="E13" s="1152"/>
      <c r="F13" s="1152">
        <v>3</v>
      </c>
      <c r="G13" s="1152"/>
      <c r="H13" s="1152"/>
      <c r="I13" s="1152"/>
      <c r="J13" s="1152"/>
      <c r="K13" s="1152"/>
      <c r="L13" s="1152"/>
      <c r="M13" s="1152"/>
    </row>
    <row r="14" spans="1:13" ht="19.5" customHeight="1">
      <c r="A14" s="1857"/>
      <c r="B14" s="1160" t="s">
        <v>962</v>
      </c>
      <c r="C14" s="1152">
        <v>2</v>
      </c>
      <c r="D14" s="1152"/>
      <c r="E14" s="1152"/>
      <c r="F14" s="1152">
        <v>2</v>
      </c>
      <c r="G14" s="1152"/>
      <c r="H14" s="1152"/>
      <c r="I14" s="1152"/>
      <c r="J14" s="1152"/>
      <c r="K14" s="1152"/>
      <c r="L14" s="1152"/>
      <c r="M14" s="1152"/>
    </row>
    <row r="15" spans="1:13" ht="19.5" customHeight="1">
      <c r="A15" s="1857"/>
      <c r="B15" s="1160" t="s">
        <v>2271</v>
      </c>
      <c r="C15" s="1152">
        <v>10</v>
      </c>
      <c r="D15" s="1152"/>
      <c r="E15" s="1152">
        <v>3</v>
      </c>
      <c r="F15" s="1152">
        <v>2</v>
      </c>
      <c r="G15" s="1152"/>
      <c r="H15" s="1152"/>
      <c r="I15" s="1152">
        <v>3</v>
      </c>
      <c r="J15" s="1152">
        <v>2</v>
      </c>
      <c r="K15" s="1152"/>
      <c r="L15" s="1152"/>
      <c r="M15" s="1152"/>
    </row>
    <row r="16" spans="1:13" ht="18.75" customHeight="1">
      <c r="A16" s="1857"/>
      <c r="B16" s="1160" t="s">
        <v>962</v>
      </c>
      <c r="C16" s="1152">
        <v>2</v>
      </c>
      <c r="D16" s="1152"/>
      <c r="E16" s="1152">
        <v>1</v>
      </c>
      <c r="F16" s="1152">
        <v>1</v>
      </c>
      <c r="G16" s="1152"/>
      <c r="H16" s="1152"/>
      <c r="I16" s="1152"/>
      <c r="J16" s="1152"/>
      <c r="K16" s="1152"/>
      <c r="L16" s="1152"/>
      <c r="M16" s="1152"/>
    </row>
    <row r="17" spans="1:13" ht="19.5" customHeight="1">
      <c r="A17" s="1857"/>
      <c r="B17" s="1160" t="s">
        <v>2272</v>
      </c>
      <c r="C17" s="1152">
        <v>0</v>
      </c>
      <c r="D17" s="1152"/>
      <c r="E17" s="1152"/>
      <c r="F17" s="1152"/>
      <c r="G17" s="1152"/>
      <c r="H17" s="1152"/>
      <c r="I17" s="1152"/>
      <c r="J17" s="1152"/>
      <c r="K17" s="1152"/>
      <c r="L17" s="1152"/>
      <c r="M17" s="1152"/>
    </row>
    <row r="18" spans="1:13" ht="19.5" customHeight="1">
      <c r="A18" s="1857"/>
      <c r="B18" s="1160" t="s">
        <v>962</v>
      </c>
      <c r="C18" s="1152">
        <v>0</v>
      </c>
      <c r="D18" s="1152"/>
      <c r="E18" s="1152"/>
      <c r="F18" s="1152"/>
      <c r="G18" s="1152"/>
      <c r="H18" s="1152"/>
      <c r="I18" s="1152"/>
      <c r="J18" s="1152"/>
      <c r="K18" s="1152"/>
      <c r="L18" s="1152"/>
      <c r="M18" s="1152"/>
    </row>
    <row r="19" spans="1:13" ht="19.5" customHeight="1">
      <c r="A19" s="1857"/>
      <c r="B19" s="1160" t="s">
        <v>2273</v>
      </c>
      <c r="C19" s="1152">
        <v>11</v>
      </c>
      <c r="D19" s="1152"/>
      <c r="E19" s="1152"/>
      <c r="F19" s="1152"/>
      <c r="G19" s="1152"/>
      <c r="H19" s="1152"/>
      <c r="I19" s="1152">
        <v>9</v>
      </c>
      <c r="J19" s="1152">
        <v>2</v>
      </c>
      <c r="K19" s="1152"/>
      <c r="L19" s="1152"/>
      <c r="M19" s="1152"/>
    </row>
    <row r="20" spans="1:13" ht="20.25" customHeight="1">
      <c r="A20" s="1857"/>
      <c r="B20" s="1160" t="s">
        <v>962</v>
      </c>
      <c r="C20" s="1152">
        <v>8</v>
      </c>
      <c r="D20" s="1152"/>
      <c r="E20" s="1152"/>
      <c r="F20" s="1152"/>
      <c r="G20" s="1152"/>
      <c r="H20" s="1152"/>
      <c r="I20" s="1152">
        <v>6</v>
      </c>
      <c r="J20" s="1152">
        <v>2</v>
      </c>
      <c r="K20" s="1152"/>
      <c r="L20" s="1152"/>
      <c r="M20" s="1152"/>
    </row>
    <row r="21" spans="1:13" ht="20.25" customHeight="1">
      <c r="A21" s="1857"/>
      <c r="B21" s="1160" t="s">
        <v>273</v>
      </c>
      <c r="C21" s="1152">
        <v>59</v>
      </c>
      <c r="D21" s="1152"/>
      <c r="E21" s="1152"/>
      <c r="F21" s="1152"/>
      <c r="G21" s="1152"/>
      <c r="H21" s="1152"/>
      <c r="I21" s="1152"/>
      <c r="J21" s="1152"/>
      <c r="K21" s="1152"/>
      <c r="L21" s="1152"/>
      <c r="M21" s="1152">
        <v>59</v>
      </c>
    </row>
    <row r="22" spans="1:13" ht="19.5" customHeight="1">
      <c r="A22" s="1857"/>
      <c r="B22" s="1160" t="s">
        <v>962</v>
      </c>
      <c r="C22" s="1152">
        <v>5</v>
      </c>
      <c r="D22" s="1152"/>
      <c r="E22" s="1152"/>
      <c r="F22" s="1152"/>
      <c r="G22" s="1152"/>
      <c r="H22" s="1152"/>
      <c r="I22" s="1152"/>
      <c r="J22" s="1152"/>
      <c r="K22" s="1152"/>
      <c r="L22" s="1152"/>
      <c r="M22" s="1152">
        <v>5</v>
      </c>
    </row>
    <row r="23" spans="1:13" ht="21" customHeight="1">
      <c r="A23" s="1858" t="s">
        <v>2274</v>
      </c>
      <c r="B23" s="1858"/>
      <c r="C23" s="1153">
        <v>690</v>
      </c>
      <c r="D23" s="1153"/>
      <c r="E23" s="1153">
        <v>3</v>
      </c>
      <c r="F23" s="1153">
        <v>3</v>
      </c>
      <c r="G23" s="1153">
        <v>28</v>
      </c>
      <c r="H23" s="1153"/>
      <c r="I23" s="1153">
        <v>19</v>
      </c>
      <c r="J23" s="1153">
        <v>14</v>
      </c>
      <c r="K23" s="1153">
        <v>257</v>
      </c>
      <c r="L23" s="1153"/>
      <c r="M23" s="1153">
        <v>366</v>
      </c>
    </row>
    <row r="24" spans="1:13" ht="21" customHeight="1">
      <c r="A24" s="1856" t="s">
        <v>962</v>
      </c>
      <c r="B24" s="1856"/>
      <c r="C24" s="1152">
        <v>266</v>
      </c>
      <c r="D24" s="1152"/>
      <c r="E24" s="1152"/>
      <c r="F24" s="1152">
        <v>2</v>
      </c>
      <c r="G24" s="1152">
        <v>15</v>
      </c>
      <c r="H24" s="1152"/>
      <c r="I24" s="1152">
        <v>4</v>
      </c>
      <c r="J24" s="1152">
        <v>5</v>
      </c>
      <c r="K24" s="1152">
        <v>134</v>
      </c>
      <c r="L24" s="1152"/>
      <c r="M24" s="1152">
        <v>106</v>
      </c>
    </row>
    <row r="25" spans="1:13" ht="20.25" customHeight="1">
      <c r="A25" s="1857" t="s">
        <v>2275</v>
      </c>
      <c r="B25" s="1160" t="s">
        <v>2276</v>
      </c>
      <c r="C25" s="1152">
        <v>650</v>
      </c>
      <c r="D25" s="1152"/>
      <c r="E25" s="1152"/>
      <c r="F25" s="1152"/>
      <c r="G25" s="1152">
        <v>28</v>
      </c>
      <c r="H25" s="1152"/>
      <c r="I25" s="1152"/>
      <c r="J25" s="1152"/>
      <c r="K25" s="1152">
        <v>256</v>
      </c>
      <c r="L25" s="1152"/>
      <c r="M25" s="1152">
        <v>366</v>
      </c>
    </row>
    <row r="26" spans="1:13" ht="20.25" customHeight="1">
      <c r="A26" s="1857"/>
      <c r="B26" s="1160" t="s">
        <v>962</v>
      </c>
      <c r="C26" s="1152">
        <v>255</v>
      </c>
      <c r="D26" s="1152"/>
      <c r="E26" s="1152"/>
      <c r="F26" s="1152"/>
      <c r="G26" s="1152">
        <v>15</v>
      </c>
      <c r="H26" s="1152"/>
      <c r="I26" s="1152"/>
      <c r="J26" s="1152"/>
      <c r="K26" s="1152">
        <v>134</v>
      </c>
      <c r="L26" s="1152"/>
      <c r="M26" s="1152">
        <v>106</v>
      </c>
    </row>
    <row r="27" spans="1:13" ht="19.5" customHeight="1">
      <c r="A27" s="1857"/>
      <c r="B27" s="1160" t="s">
        <v>2277</v>
      </c>
      <c r="C27" s="1152">
        <v>3</v>
      </c>
      <c r="D27" s="1152"/>
      <c r="E27" s="1152"/>
      <c r="F27" s="1152">
        <v>1</v>
      </c>
      <c r="G27" s="1152"/>
      <c r="H27" s="1152"/>
      <c r="I27" s="1152">
        <v>2</v>
      </c>
      <c r="J27" s="1152"/>
      <c r="K27" s="1152"/>
      <c r="L27" s="1152"/>
      <c r="M27" s="1152"/>
    </row>
    <row r="28" spans="1:13" ht="20.25" customHeight="1">
      <c r="A28" s="1857"/>
      <c r="B28" s="1160" t="s">
        <v>962</v>
      </c>
      <c r="C28" s="1152">
        <v>0</v>
      </c>
      <c r="D28" s="1152"/>
      <c r="E28" s="1152"/>
      <c r="F28" s="1152"/>
      <c r="G28" s="1152"/>
      <c r="H28" s="1152"/>
      <c r="I28" s="1152"/>
      <c r="J28" s="1152"/>
      <c r="K28" s="1152"/>
      <c r="L28" s="1152"/>
      <c r="M28" s="1152"/>
    </row>
    <row r="29" spans="1:13" ht="20.25" customHeight="1">
      <c r="A29" s="1857"/>
      <c r="B29" s="1160" t="s">
        <v>2278</v>
      </c>
      <c r="C29" s="1152">
        <v>23</v>
      </c>
      <c r="D29" s="1152"/>
      <c r="E29" s="1152">
        <v>3</v>
      </c>
      <c r="F29" s="1152"/>
      <c r="G29" s="1152"/>
      <c r="H29" s="1152"/>
      <c r="I29" s="1152">
        <v>10</v>
      </c>
      <c r="J29" s="1152">
        <v>9</v>
      </c>
      <c r="K29" s="1152">
        <v>1</v>
      </c>
      <c r="L29" s="1152"/>
      <c r="M29" s="1152"/>
    </row>
    <row r="30" spans="1:13" ht="18.75" customHeight="1">
      <c r="A30" s="1857"/>
      <c r="B30" s="1160" t="s">
        <v>962</v>
      </c>
      <c r="C30" s="1152">
        <v>5</v>
      </c>
      <c r="D30" s="1152"/>
      <c r="E30" s="1152"/>
      <c r="F30" s="1152"/>
      <c r="G30" s="1152"/>
      <c r="H30" s="1152"/>
      <c r="I30" s="1152">
        <v>1</v>
      </c>
      <c r="J30" s="1152">
        <v>4</v>
      </c>
      <c r="K30" s="1152"/>
      <c r="L30" s="1152"/>
      <c r="M30" s="1152"/>
    </row>
    <row r="31" spans="1:13" ht="18" customHeight="1">
      <c r="A31" s="1857"/>
      <c r="B31" s="1160" t="s">
        <v>2279</v>
      </c>
      <c r="C31" s="1152">
        <v>14</v>
      </c>
      <c r="D31" s="1152"/>
      <c r="E31" s="1152"/>
      <c r="F31" s="1152">
        <v>2</v>
      </c>
      <c r="G31" s="1152"/>
      <c r="H31" s="1152"/>
      <c r="I31" s="1152">
        <v>7</v>
      </c>
      <c r="J31" s="1152">
        <v>5</v>
      </c>
      <c r="K31" s="1152"/>
      <c r="L31" s="1152"/>
      <c r="M31" s="1152"/>
    </row>
    <row r="32" spans="1:13" ht="19.5" customHeight="1">
      <c r="A32" s="1857"/>
      <c r="B32" s="1160" t="s">
        <v>962</v>
      </c>
      <c r="C32" s="1152">
        <v>6</v>
      </c>
      <c r="D32" s="1152"/>
      <c r="E32" s="1152"/>
      <c r="F32" s="1152">
        <v>2</v>
      </c>
      <c r="G32" s="1152"/>
      <c r="H32" s="1152"/>
      <c r="I32" s="1152">
        <v>3</v>
      </c>
      <c r="J32" s="1152">
        <v>1</v>
      </c>
      <c r="K32" s="1152"/>
      <c r="L32" s="1152"/>
      <c r="M32" s="1152"/>
    </row>
    <row r="33" spans="1:13" ht="19.5" customHeight="1">
      <c r="A33" s="1857"/>
      <c r="B33" s="1160" t="s">
        <v>273</v>
      </c>
      <c r="C33" s="1152">
        <v>0</v>
      </c>
      <c r="D33" s="1152"/>
      <c r="E33" s="1152"/>
      <c r="F33" s="1152"/>
      <c r="G33" s="1152"/>
      <c r="H33" s="1152"/>
      <c r="I33" s="1152"/>
      <c r="J33" s="1152"/>
      <c r="K33" s="1152"/>
      <c r="L33" s="1152"/>
      <c r="M33" s="1152"/>
    </row>
    <row r="34" spans="1:13" ht="18.75" customHeight="1">
      <c r="A34" s="1857"/>
      <c r="B34" s="1160" t="s">
        <v>962</v>
      </c>
      <c r="C34" s="1152">
        <v>0</v>
      </c>
      <c r="D34" s="1152"/>
      <c r="E34" s="1152"/>
      <c r="F34" s="1152"/>
      <c r="G34" s="1152"/>
      <c r="H34" s="1152"/>
      <c r="I34" s="1152"/>
      <c r="J34" s="1152"/>
      <c r="K34" s="1152"/>
      <c r="L34" s="1152"/>
      <c r="M34" s="1152"/>
    </row>
    <row r="35" spans="1:13" ht="18" customHeight="1">
      <c r="A35" s="1858" t="s">
        <v>2280</v>
      </c>
      <c r="B35" s="1858"/>
      <c r="C35" s="1153">
        <v>897</v>
      </c>
      <c r="D35" s="1153">
        <v>57</v>
      </c>
      <c r="E35" s="1153">
        <v>7</v>
      </c>
      <c r="F35" s="1153">
        <v>27</v>
      </c>
      <c r="G35" s="1159"/>
      <c r="H35" s="1153">
        <v>182</v>
      </c>
      <c r="I35" s="1153">
        <v>172</v>
      </c>
      <c r="J35" s="1153">
        <v>231</v>
      </c>
      <c r="K35" s="1159"/>
      <c r="L35" s="1153">
        <v>221</v>
      </c>
      <c r="M35" s="1159"/>
    </row>
    <row r="36" spans="1:13" ht="18" customHeight="1">
      <c r="A36" s="1856" t="s">
        <v>962</v>
      </c>
      <c r="B36" s="1856"/>
      <c r="C36" s="1153">
        <v>368</v>
      </c>
      <c r="D36" s="1153">
        <v>15</v>
      </c>
      <c r="E36" s="1153">
        <v>4</v>
      </c>
      <c r="F36" s="1153">
        <v>20</v>
      </c>
      <c r="G36" s="1159"/>
      <c r="H36" s="1153">
        <v>64</v>
      </c>
      <c r="I36" s="1153">
        <v>71</v>
      </c>
      <c r="J36" s="1153">
        <v>97</v>
      </c>
      <c r="K36" s="1159"/>
      <c r="L36" s="1153">
        <v>97</v>
      </c>
      <c r="M36" s="1159"/>
    </row>
    <row r="37" spans="1:13" ht="16.5" customHeight="1">
      <c r="A37" s="1150"/>
      <c r="B37" s="1150"/>
      <c r="C37" s="1150"/>
      <c r="D37" s="1150"/>
      <c r="E37" s="1148"/>
      <c r="F37" s="1150"/>
      <c r="G37" s="1150"/>
      <c r="H37" s="1150"/>
      <c r="I37" s="1150"/>
      <c r="J37" s="1150"/>
      <c r="K37" s="1150"/>
      <c r="L37" s="1150"/>
      <c r="M37" s="1150"/>
    </row>
    <row r="38" spans="1:13">
      <c r="A38" s="1150"/>
      <c r="B38" s="1150"/>
      <c r="C38" s="1150"/>
      <c r="D38" s="1150"/>
      <c r="E38" s="1150"/>
      <c r="F38" s="1150"/>
      <c r="G38" s="1150"/>
      <c r="H38" s="1150"/>
      <c r="I38" s="1150"/>
      <c r="J38" s="1150"/>
      <c r="K38" s="1150"/>
      <c r="L38" s="1150"/>
      <c r="M38" s="1150"/>
    </row>
    <row r="39" spans="1:13">
      <c r="A39" s="1150"/>
      <c r="B39" s="1150"/>
      <c r="C39" s="1150"/>
      <c r="D39" s="1150"/>
      <c r="E39" s="1148">
        <v>62</v>
      </c>
      <c r="F39" s="1148"/>
      <c r="G39" s="1150"/>
      <c r="H39" s="1150"/>
      <c r="I39" s="1150"/>
      <c r="J39" s="1150"/>
      <c r="K39" s="1150"/>
      <c r="L39" s="1150"/>
      <c r="M39" s="1150"/>
    </row>
  </sheetData>
  <mergeCells count="18">
    <mergeCell ref="A24:B24"/>
    <mergeCell ref="A25:A34"/>
    <mergeCell ref="A35:B35"/>
    <mergeCell ref="A36:B36"/>
    <mergeCell ref="A7:B7"/>
    <mergeCell ref="A8:B8"/>
    <mergeCell ref="A9:B9"/>
    <mergeCell ref="A10:B10"/>
    <mergeCell ref="A11:A22"/>
    <mergeCell ref="A23:B23"/>
    <mergeCell ref="A1:M1"/>
    <mergeCell ref="L2:M2"/>
    <mergeCell ref="A4:A6"/>
    <mergeCell ref="B4:B5"/>
    <mergeCell ref="C4:C6"/>
    <mergeCell ref="D4:G4"/>
    <mergeCell ref="H4:K4"/>
    <mergeCell ref="L4:M4"/>
  </mergeCells>
  <pageMargins left="0.7" right="0.7" top="0.75" bottom="0.48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66"/>
  <sheetViews>
    <sheetView workbookViewId="0">
      <selection sqref="A1:P1"/>
    </sheetView>
  </sheetViews>
  <sheetFormatPr defaultColWidth="15.85546875" defaultRowHeight="14.25"/>
  <cols>
    <col min="1" max="1" width="4.42578125" style="486" customWidth="1"/>
    <col min="2" max="2" width="7.5703125" style="486" customWidth="1"/>
    <col min="3" max="3" width="28.5703125" style="486" customWidth="1"/>
    <col min="4" max="4" width="4.7109375" style="486" customWidth="1"/>
    <col min="5" max="5" width="6" style="486" customWidth="1"/>
    <col min="6" max="6" width="10.28515625" style="486" customWidth="1"/>
    <col min="7" max="7" width="5" style="486" customWidth="1"/>
    <col min="8" max="8" width="6" style="486" customWidth="1"/>
    <col min="9" max="9" width="6.140625" style="486" customWidth="1"/>
    <col min="10" max="11" width="5.42578125" style="486" customWidth="1"/>
    <col min="12" max="12" width="6.42578125" style="486" customWidth="1"/>
    <col min="13" max="13" width="7.28515625" style="486" customWidth="1"/>
    <col min="14" max="14" width="8" style="486" customWidth="1"/>
    <col min="15" max="15" width="6.28515625" style="486" customWidth="1"/>
    <col min="16" max="16" width="7.85546875" style="486" customWidth="1"/>
    <col min="17" max="16384" width="15.85546875" style="486"/>
  </cols>
  <sheetData>
    <row r="1" spans="1:16" ht="31.5" customHeight="1">
      <c r="A1" s="1870" t="s">
        <v>1424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  <c r="L1" s="1870"/>
      <c r="M1" s="1870"/>
      <c r="N1" s="1870"/>
      <c r="O1" s="1870"/>
      <c r="P1" s="1870"/>
    </row>
    <row r="2" spans="1:16">
      <c r="A2" s="1859" t="s">
        <v>1021</v>
      </c>
      <c r="B2" s="1886" t="s">
        <v>1401</v>
      </c>
      <c r="C2" s="1887"/>
      <c r="D2" s="1874" t="s">
        <v>1043</v>
      </c>
      <c r="E2" s="1874" t="s">
        <v>1402</v>
      </c>
      <c r="F2" s="1878" t="s">
        <v>1403</v>
      </c>
      <c r="G2" s="1874" t="s">
        <v>1404</v>
      </c>
      <c r="H2" s="1881" t="s">
        <v>1405</v>
      </c>
      <c r="I2" s="1882"/>
      <c r="J2" s="1883"/>
      <c r="K2" s="1873" t="s">
        <v>1406</v>
      </c>
      <c r="L2" s="1873"/>
      <c r="M2" s="1873"/>
      <c r="N2" s="1873"/>
      <c r="O2" s="1873"/>
      <c r="P2" s="1873"/>
    </row>
    <row r="3" spans="1:16">
      <c r="A3" s="1860"/>
      <c r="B3" s="1888"/>
      <c r="C3" s="1889"/>
      <c r="D3" s="1875"/>
      <c r="E3" s="1875"/>
      <c r="F3" s="1879"/>
      <c r="G3" s="1875"/>
      <c r="H3" s="1859" t="s">
        <v>45</v>
      </c>
      <c r="I3" s="1884" t="s">
        <v>6</v>
      </c>
      <c r="J3" s="1885"/>
      <c r="K3" s="1873" t="s">
        <v>45</v>
      </c>
      <c r="L3" s="129" t="s">
        <v>6</v>
      </c>
      <c r="M3" s="1871" t="s">
        <v>1407</v>
      </c>
      <c r="N3" s="129" t="s">
        <v>6</v>
      </c>
      <c r="O3" s="1873" t="s">
        <v>1408</v>
      </c>
      <c r="P3" s="129" t="s">
        <v>6</v>
      </c>
    </row>
    <row r="4" spans="1:16" ht="48.75" customHeight="1">
      <c r="A4" s="1861"/>
      <c r="B4" s="1890"/>
      <c r="C4" s="1891"/>
      <c r="D4" s="1876"/>
      <c r="E4" s="1876"/>
      <c r="F4" s="1880"/>
      <c r="G4" s="1876"/>
      <c r="H4" s="1861"/>
      <c r="I4" s="129" t="s">
        <v>1409</v>
      </c>
      <c r="J4" s="129" t="s">
        <v>1410</v>
      </c>
      <c r="K4" s="1873"/>
      <c r="L4" s="129" t="s">
        <v>1409</v>
      </c>
      <c r="M4" s="1872"/>
      <c r="N4" s="625" t="s">
        <v>1409</v>
      </c>
      <c r="O4" s="1873"/>
      <c r="P4" s="129" t="s">
        <v>1409</v>
      </c>
    </row>
    <row r="5" spans="1:16">
      <c r="A5" s="129" t="s">
        <v>8</v>
      </c>
      <c r="B5" s="1884" t="s">
        <v>1011</v>
      </c>
      <c r="C5" s="1885"/>
      <c r="D5" s="129" t="s">
        <v>1020</v>
      </c>
      <c r="E5" s="129">
        <v>1</v>
      </c>
      <c r="F5" s="635">
        <v>2</v>
      </c>
      <c r="G5" s="129">
        <v>3</v>
      </c>
      <c r="H5" s="129">
        <v>4</v>
      </c>
      <c r="I5" s="129">
        <v>5</v>
      </c>
      <c r="J5" s="129">
        <v>6</v>
      </c>
      <c r="K5" s="129">
        <v>7</v>
      </c>
      <c r="L5" s="129">
        <v>8</v>
      </c>
      <c r="M5" s="129">
        <v>9</v>
      </c>
      <c r="N5" s="129">
        <v>10</v>
      </c>
      <c r="O5" s="129">
        <v>11</v>
      </c>
      <c r="P5" s="129">
        <v>12</v>
      </c>
    </row>
    <row r="6" spans="1:16">
      <c r="A6" s="1859">
        <v>1</v>
      </c>
      <c r="B6" s="1868" t="s">
        <v>1411</v>
      </c>
      <c r="C6" s="1869"/>
      <c r="D6" s="637">
        <v>3</v>
      </c>
      <c r="E6" s="637">
        <v>3</v>
      </c>
      <c r="F6" s="638">
        <v>21805.7</v>
      </c>
      <c r="G6" s="637"/>
      <c r="H6" s="637">
        <v>6338</v>
      </c>
      <c r="I6" s="637">
        <v>3425</v>
      </c>
      <c r="J6" s="637">
        <v>721</v>
      </c>
      <c r="K6" s="637"/>
      <c r="L6" s="637"/>
      <c r="M6" s="637"/>
      <c r="N6" s="637"/>
      <c r="O6" s="637"/>
      <c r="P6" s="637">
        <v>10</v>
      </c>
    </row>
    <row r="7" spans="1:16">
      <c r="A7" s="1860"/>
      <c r="B7" s="1860"/>
      <c r="C7" s="487" t="s">
        <v>1413</v>
      </c>
      <c r="D7" s="129">
        <v>2</v>
      </c>
      <c r="E7" s="129">
        <v>2</v>
      </c>
      <c r="F7" s="639">
        <v>8805.7000000000007</v>
      </c>
      <c r="G7" s="129"/>
      <c r="H7" s="129">
        <v>5001</v>
      </c>
      <c r="I7" s="129">
        <v>2725</v>
      </c>
      <c r="J7" s="129">
        <v>644</v>
      </c>
      <c r="K7" s="129"/>
      <c r="L7" s="129"/>
      <c r="M7" s="129"/>
      <c r="N7" s="129"/>
      <c r="O7" s="129"/>
      <c r="P7" s="129">
        <v>4</v>
      </c>
    </row>
    <row r="8" spans="1:16">
      <c r="A8" s="1861"/>
      <c r="B8" s="1861"/>
      <c r="C8" s="487" t="s">
        <v>1414</v>
      </c>
      <c r="D8" s="129">
        <v>1</v>
      </c>
      <c r="E8" s="129">
        <v>1</v>
      </c>
      <c r="F8" s="640">
        <v>13000</v>
      </c>
      <c r="G8" s="129"/>
      <c r="H8" s="129">
        <v>1337</v>
      </c>
      <c r="I8" s="129">
        <v>700</v>
      </c>
      <c r="J8" s="129">
        <v>77</v>
      </c>
      <c r="K8" s="489"/>
      <c r="L8" s="489"/>
      <c r="M8" s="489"/>
      <c r="N8" s="489"/>
      <c r="O8" s="489"/>
      <c r="P8" s="489">
        <v>6</v>
      </c>
    </row>
    <row r="9" spans="1:16">
      <c r="A9" s="1859">
        <v>3</v>
      </c>
      <c r="B9" s="1868" t="s">
        <v>1415</v>
      </c>
      <c r="C9" s="1869"/>
      <c r="D9" s="637">
        <v>1</v>
      </c>
      <c r="E9" s="637">
        <v>1</v>
      </c>
      <c r="F9" s="641">
        <v>4990</v>
      </c>
      <c r="G9" s="637"/>
      <c r="H9" s="637">
        <v>935</v>
      </c>
      <c r="I9" s="637">
        <v>476</v>
      </c>
      <c r="J9" s="637">
        <v>4</v>
      </c>
      <c r="K9" s="637"/>
      <c r="L9" s="637"/>
      <c r="M9" s="637"/>
      <c r="N9" s="637"/>
      <c r="O9" s="637"/>
      <c r="P9" s="637"/>
    </row>
    <row r="10" spans="1:16">
      <c r="A10" s="1860"/>
      <c r="B10" s="787" t="s">
        <v>673</v>
      </c>
      <c r="C10" s="487" t="s">
        <v>1416</v>
      </c>
      <c r="D10" s="642">
        <v>1</v>
      </c>
      <c r="E10" s="642">
        <v>1</v>
      </c>
      <c r="F10" s="643">
        <v>4990</v>
      </c>
      <c r="G10" s="642"/>
      <c r="H10" s="642">
        <v>935</v>
      </c>
      <c r="I10" s="642">
        <v>476</v>
      </c>
      <c r="J10" s="642">
        <v>4</v>
      </c>
      <c r="K10" s="129"/>
      <c r="L10" s="129"/>
      <c r="M10" s="129"/>
      <c r="N10" s="129"/>
      <c r="O10" s="129"/>
      <c r="P10" s="129"/>
    </row>
    <row r="11" spans="1:16">
      <c r="A11" s="1859">
        <v>5</v>
      </c>
      <c r="B11" s="1868" t="s">
        <v>1417</v>
      </c>
      <c r="C11" s="1869"/>
      <c r="D11" s="637">
        <v>5</v>
      </c>
      <c r="E11" s="637">
        <v>5</v>
      </c>
      <c r="F11" s="644">
        <v>30683.599999999999</v>
      </c>
      <c r="G11" s="645"/>
      <c r="H11" s="645">
        <v>1842</v>
      </c>
      <c r="I11" s="645">
        <v>1008</v>
      </c>
      <c r="J11" s="645">
        <v>39</v>
      </c>
      <c r="K11" s="645"/>
      <c r="L11" s="645"/>
      <c r="M11" s="645"/>
      <c r="N11" s="645"/>
      <c r="O11" s="645"/>
      <c r="P11" s="645">
        <v>4</v>
      </c>
    </row>
    <row r="12" spans="1:16" ht="15" customHeight="1">
      <c r="A12" s="1860"/>
      <c r="B12" s="1860"/>
      <c r="C12" s="487" t="s">
        <v>1413</v>
      </c>
      <c r="D12" s="129">
        <v>4</v>
      </c>
      <c r="E12" s="129">
        <v>4</v>
      </c>
      <c r="F12" s="640">
        <v>22630</v>
      </c>
      <c r="G12" s="129"/>
      <c r="H12" s="129">
        <v>1662</v>
      </c>
      <c r="I12" s="129">
        <v>888</v>
      </c>
      <c r="J12" s="129">
        <v>25</v>
      </c>
      <c r="K12" s="129"/>
      <c r="L12" s="129"/>
      <c r="M12" s="129"/>
      <c r="N12" s="129"/>
      <c r="O12" s="129"/>
      <c r="P12" s="129">
        <v>4</v>
      </c>
    </row>
    <row r="13" spans="1:16">
      <c r="A13" s="1861"/>
      <c r="B13" s="1861"/>
      <c r="C13" s="487" t="s">
        <v>1414</v>
      </c>
      <c r="D13" s="129">
        <v>1</v>
      </c>
      <c r="E13" s="129">
        <v>1</v>
      </c>
      <c r="F13" s="646">
        <v>8053.6</v>
      </c>
      <c r="G13" s="129"/>
      <c r="H13" s="129">
        <v>180</v>
      </c>
      <c r="I13" s="129">
        <v>120</v>
      </c>
      <c r="J13" s="129">
        <v>14</v>
      </c>
      <c r="K13" s="129"/>
      <c r="L13" s="129"/>
      <c r="M13" s="129"/>
      <c r="N13" s="129"/>
      <c r="O13" s="129"/>
      <c r="P13" s="129"/>
    </row>
    <row r="14" spans="1:16">
      <c r="A14" s="1859">
        <v>6</v>
      </c>
      <c r="B14" s="1868" t="s">
        <v>1418</v>
      </c>
      <c r="C14" s="1869"/>
      <c r="D14" s="645">
        <v>3</v>
      </c>
      <c r="E14" s="645">
        <v>3</v>
      </c>
      <c r="F14" s="647">
        <v>11395</v>
      </c>
      <c r="G14" s="648"/>
      <c r="H14" s="645">
        <v>90</v>
      </c>
      <c r="I14" s="645">
        <v>56</v>
      </c>
      <c r="J14" s="645">
        <v>4</v>
      </c>
      <c r="K14" s="645"/>
      <c r="L14" s="645"/>
      <c r="M14" s="648"/>
      <c r="N14" s="648"/>
      <c r="O14" s="648"/>
      <c r="P14" s="648"/>
    </row>
    <row r="15" spans="1:16">
      <c r="A15" s="1860"/>
      <c r="B15" s="1859" t="s">
        <v>673</v>
      </c>
      <c r="C15" s="487" t="s">
        <v>1412</v>
      </c>
      <c r="D15" s="628"/>
      <c r="E15" s="628"/>
      <c r="F15" s="649"/>
      <c r="G15" s="628"/>
      <c r="H15" s="628"/>
      <c r="I15" s="628"/>
      <c r="J15" s="628"/>
      <c r="K15" s="628"/>
      <c r="L15" s="628"/>
      <c r="M15" s="628"/>
      <c r="N15" s="628"/>
      <c r="O15" s="628"/>
      <c r="P15" s="628"/>
    </row>
    <row r="16" spans="1:16">
      <c r="A16" s="1860"/>
      <c r="B16" s="1860"/>
      <c r="C16" s="487" t="s">
        <v>1413</v>
      </c>
      <c r="D16" s="650">
        <v>3</v>
      </c>
      <c r="E16" s="650">
        <v>3</v>
      </c>
      <c r="F16" s="651">
        <v>11395</v>
      </c>
      <c r="G16" s="652"/>
      <c r="H16" s="650">
        <v>90</v>
      </c>
      <c r="I16" s="650">
        <v>56</v>
      </c>
      <c r="J16" s="650">
        <v>4</v>
      </c>
      <c r="K16" s="628"/>
      <c r="L16" s="628"/>
      <c r="M16" s="628"/>
      <c r="N16" s="628"/>
      <c r="O16" s="628"/>
      <c r="P16" s="628"/>
    </row>
    <row r="17" spans="1:16">
      <c r="A17" s="1859">
        <v>7</v>
      </c>
      <c r="B17" s="664" t="s">
        <v>1419</v>
      </c>
      <c r="C17" s="653"/>
      <c r="D17" s="645">
        <v>3</v>
      </c>
      <c r="E17" s="645">
        <v>3</v>
      </c>
      <c r="F17" s="654">
        <v>16650</v>
      </c>
      <c r="G17" s="645"/>
      <c r="H17" s="645">
        <v>3963</v>
      </c>
      <c r="I17" s="645">
        <v>1979</v>
      </c>
      <c r="J17" s="645">
        <v>209</v>
      </c>
      <c r="K17" s="645">
        <v>1</v>
      </c>
      <c r="L17" s="645"/>
      <c r="M17" s="645"/>
      <c r="N17" s="645"/>
      <c r="O17" s="645"/>
      <c r="P17" s="645"/>
    </row>
    <row r="18" spans="1:16">
      <c r="A18" s="1860"/>
      <c r="B18" s="1859" t="s">
        <v>673</v>
      </c>
      <c r="C18" s="487" t="s">
        <v>1412</v>
      </c>
      <c r="D18" s="628"/>
      <c r="E18" s="628"/>
      <c r="F18" s="649"/>
      <c r="G18" s="628"/>
      <c r="H18" s="628"/>
      <c r="I18" s="628"/>
      <c r="J18" s="628"/>
      <c r="K18" s="628"/>
      <c r="L18" s="628"/>
      <c r="M18" s="628"/>
      <c r="N18" s="628"/>
      <c r="O18" s="628"/>
      <c r="P18" s="628"/>
    </row>
    <row r="19" spans="1:16">
      <c r="A19" s="1860"/>
      <c r="B19" s="1860"/>
      <c r="C19" s="487" t="s">
        <v>1413</v>
      </c>
      <c r="D19" s="650">
        <v>3</v>
      </c>
      <c r="E19" s="650">
        <v>3</v>
      </c>
      <c r="F19" s="655">
        <v>16650</v>
      </c>
      <c r="G19" s="650"/>
      <c r="H19" s="650">
        <v>3963</v>
      </c>
      <c r="I19" s="650">
        <v>1979</v>
      </c>
      <c r="J19" s="650">
        <v>209</v>
      </c>
      <c r="K19" s="650">
        <v>1</v>
      </c>
      <c r="L19" s="628"/>
      <c r="M19" s="628"/>
      <c r="N19" s="628"/>
      <c r="O19" s="628"/>
      <c r="P19" s="628"/>
    </row>
    <row r="20" spans="1:16">
      <c r="A20" s="1859">
        <v>8</v>
      </c>
      <c r="B20" s="1868" t="s">
        <v>1420</v>
      </c>
      <c r="C20" s="1869"/>
      <c r="D20" s="645">
        <v>11</v>
      </c>
      <c r="E20" s="645">
        <v>11</v>
      </c>
      <c r="F20" s="656">
        <v>61198.6</v>
      </c>
      <c r="G20" s="645"/>
      <c r="H20" s="645">
        <v>1247</v>
      </c>
      <c r="I20" s="645">
        <v>661</v>
      </c>
      <c r="J20" s="645">
        <v>108</v>
      </c>
      <c r="K20" s="645"/>
      <c r="L20" s="645"/>
      <c r="M20" s="645"/>
      <c r="N20" s="645"/>
      <c r="O20" s="645"/>
      <c r="P20" s="645">
        <v>8</v>
      </c>
    </row>
    <row r="21" spans="1:16">
      <c r="A21" s="1860"/>
      <c r="B21" s="1859" t="s">
        <v>673</v>
      </c>
      <c r="C21" s="487" t="s">
        <v>1412</v>
      </c>
      <c r="D21" s="628"/>
      <c r="E21" s="628"/>
      <c r="F21" s="649"/>
      <c r="G21" s="628"/>
      <c r="H21" s="628"/>
      <c r="I21" s="628"/>
      <c r="J21" s="628"/>
      <c r="K21" s="628"/>
      <c r="L21" s="628"/>
      <c r="M21" s="628"/>
      <c r="N21" s="628"/>
      <c r="O21" s="628"/>
      <c r="P21" s="628"/>
    </row>
    <row r="22" spans="1:16">
      <c r="A22" s="1860"/>
      <c r="B22" s="1860"/>
      <c r="C22" s="487" t="s">
        <v>1413</v>
      </c>
      <c r="D22" s="650">
        <v>11</v>
      </c>
      <c r="E22" s="650">
        <v>11</v>
      </c>
      <c r="F22" s="657">
        <v>61198.6</v>
      </c>
      <c r="G22" s="650"/>
      <c r="H22" s="650">
        <v>1247</v>
      </c>
      <c r="I22" s="650">
        <v>661</v>
      </c>
      <c r="J22" s="650">
        <v>108</v>
      </c>
      <c r="K22" s="628"/>
      <c r="L22" s="628"/>
      <c r="M22" s="628"/>
      <c r="N22" s="628"/>
      <c r="O22" s="628"/>
      <c r="P22" s="628">
        <v>8</v>
      </c>
    </row>
    <row r="23" spans="1:16">
      <c r="A23" s="1861"/>
      <c r="B23" s="1861"/>
      <c r="C23" s="487" t="s">
        <v>1414</v>
      </c>
      <c r="D23" s="628"/>
      <c r="E23" s="628"/>
      <c r="F23" s="649"/>
      <c r="G23" s="628"/>
      <c r="H23" s="628"/>
      <c r="I23" s="628"/>
      <c r="J23" s="628"/>
      <c r="K23" s="628"/>
      <c r="L23" s="628"/>
      <c r="M23" s="628"/>
      <c r="N23" s="628"/>
      <c r="O23" s="628"/>
      <c r="P23" s="628"/>
    </row>
    <row r="24" spans="1:16">
      <c r="A24" s="1859">
        <v>10</v>
      </c>
      <c r="B24" s="1862" t="s">
        <v>1421</v>
      </c>
      <c r="C24" s="1863"/>
      <c r="D24" s="645">
        <v>1</v>
      </c>
      <c r="E24" s="645">
        <v>1</v>
      </c>
      <c r="F24" s="656">
        <v>23119.7</v>
      </c>
      <c r="G24" s="645"/>
      <c r="H24" s="645">
        <v>1347</v>
      </c>
      <c r="I24" s="645">
        <v>694</v>
      </c>
      <c r="J24" s="645">
        <v>110</v>
      </c>
      <c r="K24" s="645">
        <v>2</v>
      </c>
      <c r="L24" s="645">
        <v>1</v>
      </c>
      <c r="M24" s="645"/>
      <c r="N24" s="645"/>
      <c r="O24" s="645"/>
      <c r="P24" s="645"/>
    </row>
    <row r="25" spans="1:16">
      <c r="A25" s="1860"/>
      <c r="B25" s="1859" t="s">
        <v>673</v>
      </c>
      <c r="C25" s="487" t="s">
        <v>1412</v>
      </c>
      <c r="D25" s="650">
        <v>1</v>
      </c>
      <c r="E25" s="650">
        <v>1</v>
      </c>
      <c r="F25" s="656">
        <v>23119.7</v>
      </c>
      <c r="G25" s="650"/>
      <c r="H25" s="650">
        <v>1347</v>
      </c>
      <c r="I25" s="650">
        <v>694</v>
      </c>
      <c r="J25" s="650">
        <v>110</v>
      </c>
      <c r="K25" s="650">
        <v>2</v>
      </c>
      <c r="L25" s="650">
        <v>1</v>
      </c>
      <c r="M25" s="628"/>
      <c r="N25" s="628"/>
      <c r="O25" s="658"/>
      <c r="P25" s="628"/>
    </row>
    <row r="26" spans="1:16" ht="13.5" customHeight="1">
      <c r="A26" s="1860"/>
      <c r="B26" s="1860"/>
      <c r="C26" s="487" t="s">
        <v>1413</v>
      </c>
      <c r="D26" s="628"/>
      <c r="E26" s="628"/>
      <c r="F26" s="649"/>
      <c r="G26" s="628"/>
      <c r="H26" s="628"/>
      <c r="I26" s="628"/>
      <c r="J26" s="628"/>
      <c r="K26" s="628"/>
      <c r="L26" s="628"/>
      <c r="M26" s="628"/>
      <c r="N26" s="628"/>
      <c r="O26" s="628"/>
      <c r="P26" s="628"/>
    </row>
    <row r="27" spans="1:16">
      <c r="A27" s="1859">
        <v>11</v>
      </c>
      <c r="B27" s="1862" t="s">
        <v>1422</v>
      </c>
      <c r="C27" s="1863"/>
      <c r="D27" s="645">
        <v>1</v>
      </c>
      <c r="E27" s="645">
        <v>1</v>
      </c>
      <c r="F27" s="644">
        <v>9990</v>
      </c>
      <c r="G27" s="645"/>
      <c r="H27" s="645">
        <v>526</v>
      </c>
      <c r="I27" s="645">
        <v>240</v>
      </c>
      <c r="J27" s="645">
        <v>14</v>
      </c>
      <c r="K27" s="645">
        <v>1</v>
      </c>
      <c r="L27" s="645"/>
      <c r="M27" s="645"/>
      <c r="N27" s="645"/>
      <c r="O27" s="645"/>
      <c r="P27" s="645"/>
    </row>
    <row r="28" spans="1:16">
      <c r="A28" s="1860"/>
      <c r="B28" s="1859" t="s">
        <v>673</v>
      </c>
      <c r="C28" s="487" t="s">
        <v>1412</v>
      </c>
      <c r="D28" s="628"/>
      <c r="E28" s="628"/>
      <c r="F28" s="649"/>
      <c r="G28" s="628"/>
      <c r="H28" s="628"/>
      <c r="I28" s="628"/>
      <c r="J28" s="628"/>
      <c r="K28" s="628"/>
      <c r="L28" s="628"/>
      <c r="M28" s="628"/>
      <c r="N28" s="628"/>
      <c r="O28" s="628"/>
      <c r="P28" s="628"/>
    </row>
    <row r="29" spans="1:16">
      <c r="A29" s="1860"/>
      <c r="B29" s="1860"/>
      <c r="C29" s="487" t="s">
        <v>1413</v>
      </c>
      <c r="D29" s="650">
        <v>1</v>
      </c>
      <c r="E29" s="650">
        <v>1</v>
      </c>
      <c r="F29" s="659">
        <v>9990</v>
      </c>
      <c r="G29" s="650"/>
      <c r="H29" s="650">
        <v>526</v>
      </c>
      <c r="I29" s="650">
        <v>240</v>
      </c>
      <c r="J29" s="650">
        <v>14</v>
      </c>
      <c r="K29" s="650">
        <v>1</v>
      </c>
      <c r="L29" s="628"/>
      <c r="M29" s="628"/>
      <c r="N29" s="628"/>
      <c r="O29" s="628"/>
      <c r="P29" s="628"/>
    </row>
    <row r="30" spans="1:16">
      <c r="A30" s="1861"/>
      <c r="B30" s="1861"/>
      <c r="C30" s="487" t="s">
        <v>1414</v>
      </c>
      <c r="D30" s="628"/>
      <c r="E30" s="628"/>
      <c r="F30" s="649"/>
      <c r="G30" s="628"/>
      <c r="H30" s="628"/>
      <c r="I30" s="628"/>
      <c r="J30" s="628"/>
      <c r="K30" s="628"/>
      <c r="L30" s="628"/>
      <c r="M30" s="628"/>
      <c r="N30" s="628"/>
      <c r="O30" s="628"/>
      <c r="P30" s="628"/>
    </row>
    <row r="31" spans="1:16">
      <c r="A31" s="637">
        <v>19</v>
      </c>
      <c r="B31" s="1864" t="s">
        <v>1423</v>
      </c>
      <c r="C31" s="1865"/>
      <c r="D31" s="637">
        <v>17</v>
      </c>
      <c r="E31" s="637">
        <v>17</v>
      </c>
      <c r="F31" s="660">
        <v>127482.4</v>
      </c>
      <c r="G31" s="637"/>
      <c r="H31" s="637">
        <v>13419</v>
      </c>
      <c r="I31" s="637">
        <v>7689</v>
      </c>
      <c r="J31" s="637">
        <v>699</v>
      </c>
      <c r="K31" s="637">
        <v>6</v>
      </c>
      <c r="L31" s="637"/>
      <c r="M31" s="637">
        <v>3</v>
      </c>
      <c r="N31" s="637"/>
      <c r="O31" s="637"/>
      <c r="P31" s="637">
        <v>23</v>
      </c>
    </row>
    <row r="32" spans="1:16">
      <c r="A32" s="661"/>
      <c r="B32" s="1866" t="s">
        <v>45</v>
      </c>
      <c r="C32" s="1867"/>
      <c r="D32" s="645"/>
      <c r="E32" s="662">
        <v>45</v>
      </c>
      <c r="F32" s="663">
        <v>307315</v>
      </c>
      <c r="G32" s="662"/>
      <c r="H32" s="662">
        <v>29707</v>
      </c>
      <c r="I32" s="662">
        <v>16228</v>
      </c>
      <c r="J32" s="662">
        <v>1908</v>
      </c>
      <c r="K32" s="662">
        <v>10</v>
      </c>
      <c r="L32" s="662">
        <v>2</v>
      </c>
      <c r="M32" s="662">
        <v>3</v>
      </c>
      <c r="N32" s="662"/>
      <c r="O32" s="662"/>
      <c r="P32" s="662">
        <v>45</v>
      </c>
    </row>
    <row r="33" spans="1:16">
      <c r="A33" s="490"/>
      <c r="B33" s="219"/>
      <c r="C33" s="219"/>
      <c r="D33" s="219"/>
      <c r="E33" s="219"/>
      <c r="F33" s="219"/>
      <c r="G33" s="219"/>
      <c r="H33" s="219"/>
    </row>
    <row r="34" spans="1:16">
      <c r="A34" s="1877">
        <v>63</v>
      </c>
      <c r="B34" s="1877"/>
      <c r="C34" s="1877"/>
      <c r="D34" s="1877"/>
      <c r="E34" s="1877"/>
      <c r="F34" s="1877"/>
      <c r="G34" s="1877"/>
      <c r="H34" s="1877"/>
      <c r="I34" s="1877"/>
      <c r="J34" s="1877"/>
      <c r="K34" s="1877"/>
      <c r="L34" s="1877"/>
      <c r="M34" s="1877"/>
      <c r="N34" s="1877"/>
      <c r="O34" s="1877"/>
      <c r="P34" s="1877"/>
    </row>
    <row r="35" spans="1:16">
      <c r="A35" s="490"/>
      <c r="B35" s="219"/>
      <c r="C35" s="219"/>
      <c r="D35" s="219"/>
      <c r="E35" s="219"/>
      <c r="F35" s="219"/>
      <c r="G35" s="219"/>
      <c r="H35" s="219"/>
    </row>
    <row r="36" spans="1:16">
      <c r="A36" s="490"/>
      <c r="B36" s="219"/>
      <c r="C36" s="219"/>
      <c r="D36" s="219"/>
      <c r="E36" s="219"/>
      <c r="F36" s="219"/>
      <c r="G36" s="219"/>
      <c r="H36" s="219"/>
    </row>
    <row r="37" spans="1:16">
      <c r="A37" s="490"/>
      <c r="B37" s="219"/>
      <c r="C37" s="219"/>
      <c r="D37" s="219"/>
      <c r="E37" s="219"/>
      <c r="F37" s="219"/>
      <c r="G37" s="219"/>
      <c r="H37" s="219"/>
    </row>
    <row r="38" spans="1:16">
      <c r="A38" s="490"/>
      <c r="B38" s="219"/>
      <c r="C38" s="219"/>
      <c r="D38" s="219"/>
      <c r="E38" s="219"/>
      <c r="F38" s="219"/>
      <c r="G38" s="219"/>
      <c r="H38" s="219"/>
    </row>
    <row r="39" spans="1:16">
      <c r="A39" s="490"/>
      <c r="B39" s="219"/>
      <c r="C39" s="219"/>
      <c r="D39" s="219"/>
      <c r="E39" s="219"/>
      <c r="F39" s="219"/>
      <c r="G39" s="219"/>
      <c r="H39" s="219"/>
    </row>
    <row r="40" spans="1:16">
      <c r="A40" s="490"/>
      <c r="B40" s="219"/>
      <c r="C40" s="219"/>
      <c r="D40" s="219"/>
      <c r="E40" s="219"/>
      <c r="F40" s="219"/>
      <c r="G40" s="219"/>
      <c r="H40" s="219"/>
    </row>
    <row r="41" spans="1:16">
      <c r="A41" s="490"/>
      <c r="B41" s="219"/>
      <c r="C41" s="219"/>
      <c r="D41" s="219"/>
      <c r="E41" s="219"/>
      <c r="F41" s="219"/>
      <c r="G41" s="219"/>
      <c r="H41" s="219"/>
    </row>
    <row r="42" spans="1:16">
      <c r="A42" s="490"/>
      <c r="B42" s="219"/>
      <c r="C42" s="219"/>
      <c r="D42" s="219"/>
      <c r="E42" s="219"/>
      <c r="F42" s="219"/>
      <c r="G42" s="219"/>
      <c r="H42" s="219"/>
    </row>
    <row r="43" spans="1:16">
      <c r="A43" s="491"/>
      <c r="B43" s="219"/>
      <c r="C43" s="219"/>
      <c r="D43" s="219"/>
      <c r="E43" s="219"/>
      <c r="F43" s="219"/>
      <c r="G43" s="219"/>
      <c r="H43" s="219"/>
    </row>
    <row r="44" spans="1:16">
      <c r="A44" s="219"/>
      <c r="B44" s="219"/>
      <c r="C44" s="219"/>
      <c r="D44" s="219"/>
      <c r="E44" s="219"/>
      <c r="F44" s="219"/>
      <c r="G44" s="219"/>
      <c r="H44" s="219"/>
    </row>
    <row r="45" spans="1:16">
      <c r="A45" s="219"/>
      <c r="B45" s="219"/>
      <c r="C45" s="219"/>
      <c r="D45" s="219"/>
      <c r="E45" s="219"/>
      <c r="F45" s="219"/>
      <c r="G45" s="219"/>
      <c r="H45" s="219"/>
    </row>
    <row r="46" spans="1:16">
      <c r="A46" s="219"/>
      <c r="B46" s="219"/>
      <c r="C46" s="219"/>
      <c r="D46" s="219"/>
      <c r="E46" s="219"/>
      <c r="F46" s="219"/>
      <c r="G46" s="219"/>
      <c r="H46" s="219"/>
    </row>
    <row r="47" spans="1:16">
      <c r="A47" s="219"/>
      <c r="B47" s="219"/>
      <c r="C47" s="219"/>
      <c r="D47" s="219"/>
      <c r="E47" s="219"/>
      <c r="F47" s="219"/>
      <c r="G47" s="219"/>
      <c r="H47" s="219"/>
    </row>
    <row r="48" spans="1:16">
      <c r="A48" s="219"/>
      <c r="B48" s="219"/>
      <c r="C48" s="219"/>
      <c r="D48" s="219"/>
      <c r="E48" s="219"/>
      <c r="F48" s="219"/>
      <c r="G48" s="219"/>
      <c r="H48" s="219"/>
    </row>
    <row r="49" spans="1:8">
      <c r="A49" s="219"/>
      <c r="B49" s="219"/>
      <c r="C49" s="219"/>
      <c r="D49" s="219"/>
      <c r="E49" s="219"/>
      <c r="F49" s="219"/>
      <c r="G49" s="219"/>
      <c r="H49" s="219"/>
    </row>
    <row r="50" spans="1:8">
      <c r="A50" s="219"/>
      <c r="B50" s="219"/>
      <c r="C50" s="219"/>
      <c r="D50" s="219"/>
      <c r="E50" s="219"/>
      <c r="F50" s="219"/>
      <c r="G50" s="219"/>
      <c r="H50" s="219"/>
    </row>
    <row r="51" spans="1:8">
      <c r="A51" s="219"/>
      <c r="B51" s="219"/>
      <c r="C51" s="219"/>
      <c r="D51" s="219"/>
      <c r="E51" s="219"/>
      <c r="F51" s="219"/>
      <c r="G51" s="219"/>
      <c r="H51" s="219"/>
    </row>
    <row r="52" spans="1:8">
      <c r="A52" s="219"/>
      <c r="B52" s="219"/>
      <c r="C52" s="219"/>
      <c r="D52" s="219"/>
      <c r="E52" s="219"/>
      <c r="F52" s="219"/>
      <c r="G52" s="219"/>
      <c r="H52" s="219"/>
    </row>
    <row r="53" spans="1:8">
      <c r="A53" s="219"/>
      <c r="B53" s="219"/>
      <c r="C53" s="219"/>
      <c r="D53" s="219"/>
      <c r="E53" s="219"/>
      <c r="F53" s="219"/>
      <c r="G53" s="219"/>
      <c r="H53" s="219"/>
    </row>
    <row r="54" spans="1:8">
      <c r="A54" s="219"/>
      <c r="B54" s="219"/>
      <c r="C54" s="219"/>
      <c r="D54" s="219"/>
      <c r="E54" s="219"/>
      <c r="F54" s="219"/>
      <c r="G54" s="219"/>
      <c r="H54" s="219"/>
    </row>
    <row r="55" spans="1:8">
      <c r="A55" s="219"/>
      <c r="B55" s="219"/>
      <c r="C55" s="219"/>
      <c r="D55" s="219"/>
      <c r="E55" s="219"/>
      <c r="F55" s="219"/>
      <c r="G55" s="219"/>
      <c r="H55" s="219"/>
    </row>
    <row r="56" spans="1:8">
      <c r="A56" s="219"/>
      <c r="B56" s="219"/>
      <c r="C56" s="219"/>
      <c r="D56" s="219"/>
      <c r="E56" s="219"/>
      <c r="F56" s="219"/>
      <c r="G56" s="219"/>
      <c r="H56" s="219"/>
    </row>
    <row r="57" spans="1:8">
      <c r="A57" s="219"/>
      <c r="B57" s="219"/>
      <c r="C57" s="219"/>
      <c r="D57" s="219"/>
      <c r="E57" s="219"/>
      <c r="F57" s="219"/>
      <c r="G57" s="219"/>
      <c r="H57" s="219"/>
    </row>
    <row r="58" spans="1:8">
      <c r="A58" s="219"/>
      <c r="B58" s="219"/>
      <c r="C58" s="219"/>
      <c r="D58" s="219"/>
      <c r="E58" s="219"/>
      <c r="F58" s="219"/>
      <c r="G58" s="219"/>
      <c r="H58" s="219"/>
    </row>
    <row r="59" spans="1:8">
      <c r="A59" s="219"/>
      <c r="B59" s="219"/>
      <c r="C59" s="219"/>
      <c r="D59" s="219"/>
      <c r="E59" s="219"/>
      <c r="F59" s="219"/>
      <c r="G59" s="219"/>
      <c r="H59" s="219"/>
    </row>
    <row r="60" spans="1:8">
      <c r="A60" s="219"/>
      <c r="B60" s="219"/>
      <c r="C60" s="219"/>
      <c r="D60" s="219"/>
      <c r="E60" s="219"/>
      <c r="F60" s="219"/>
      <c r="G60" s="219"/>
      <c r="H60" s="219"/>
    </row>
    <row r="61" spans="1:8">
      <c r="A61" s="219"/>
      <c r="B61" s="219"/>
      <c r="C61" s="219"/>
      <c r="D61" s="219"/>
      <c r="E61" s="219"/>
      <c r="F61" s="219"/>
      <c r="G61" s="219"/>
      <c r="H61" s="219"/>
    </row>
    <row r="62" spans="1:8">
      <c r="A62" s="219"/>
      <c r="B62" s="219"/>
      <c r="C62" s="219"/>
      <c r="D62" s="219"/>
      <c r="E62" s="219"/>
      <c r="F62" s="219"/>
      <c r="G62" s="219"/>
      <c r="H62" s="219"/>
    </row>
    <row r="63" spans="1:8">
      <c r="A63" s="219"/>
      <c r="B63" s="219"/>
      <c r="C63" s="219"/>
      <c r="D63" s="219"/>
      <c r="E63" s="219"/>
      <c r="F63" s="219"/>
      <c r="G63" s="219"/>
      <c r="H63" s="219"/>
    </row>
    <row r="64" spans="1:8">
      <c r="A64" s="219"/>
      <c r="B64" s="219"/>
      <c r="C64" s="219"/>
      <c r="D64" s="219"/>
      <c r="E64" s="219"/>
      <c r="F64" s="219"/>
      <c r="G64" s="219"/>
      <c r="H64" s="219"/>
    </row>
    <row r="65" spans="1:8">
      <c r="A65" s="219"/>
      <c r="B65" s="219"/>
      <c r="C65" s="219"/>
      <c r="D65" s="219"/>
      <c r="E65" s="219"/>
      <c r="F65" s="219"/>
      <c r="G65" s="219"/>
      <c r="H65" s="219"/>
    </row>
    <row r="66" spans="1:8">
      <c r="A66" s="219"/>
      <c r="B66" s="219"/>
      <c r="C66" s="219"/>
      <c r="D66" s="219"/>
      <c r="E66" s="219"/>
      <c r="F66" s="219"/>
      <c r="G66" s="219"/>
      <c r="H66" s="219"/>
    </row>
  </sheetData>
  <mergeCells count="40">
    <mergeCell ref="A34:P34"/>
    <mergeCell ref="F2:F4"/>
    <mergeCell ref="G2:G4"/>
    <mergeCell ref="H2:J2"/>
    <mergeCell ref="B5:C5"/>
    <mergeCell ref="A6:A8"/>
    <mergeCell ref="B6:C6"/>
    <mergeCell ref="B7:B8"/>
    <mergeCell ref="K2:P2"/>
    <mergeCell ref="H3:H4"/>
    <mergeCell ref="B2:C4"/>
    <mergeCell ref="B11:C11"/>
    <mergeCell ref="B12:B13"/>
    <mergeCell ref="I3:J3"/>
    <mergeCell ref="K3:K4"/>
    <mergeCell ref="A24:A26"/>
    <mergeCell ref="A1:P1"/>
    <mergeCell ref="A20:A23"/>
    <mergeCell ref="B20:C20"/>
    <mergeCell ref="B21:B23"/>
    <mergeCell ref="A11:A13"/>
    <mergeCell ref="A9:A10"/>
    <mergeCell ref="B9:C9"/>
    <mergeCell ref="A2:A4"/>
    <mergeCell ref="M3:M4"/>
    <mergeCell ref="O3:O4"/>
    <mergeCell ref="D2:D4"/>
    <mergeCell ref="E2:E4"/>
    <mergeCell ref="B24:C24"/>
    <mergeCell ref="B25:B26"/>
    <mergeCell ref="A14:A16"/>
    <mergeCell ref="B14:C14"/>
    <mergeCell ref="B15:B16"/>
    <mergeCell ref="A17:A19"/>
    <mergeCell ref="B18:B19"/>
    <mergeCell ref="A27:A30"/>
    <mergeCell ref="B27:C27"/>
    <mergeCell ref="B28:B30"/>
    <mergeCell ref="B31:C31"/>
    <mergeCell ref="B32:C32"/>
  </mergeCells>
  <pageMargins left="0.7" right="0.7" top="0.75" bottom="0.47" header="0.3" footer="0.3"/>
  <pageSetup orientation="landscape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25"/>
  <sheetViews>
    <sheetView workbookViewId="0">
      <selection sqref="A1:O1"/>
    </sheetView>
  </sheetViews>
  <sheetFormatPr defaultRowHeight="12.75"/>
  <cols>
    <col min="1" max="1" width="3.42578125" customWidth="1"/>
    <col min="3" max="3" width="32" customWidth="1"/>
    <col min="4" max="4" width="5" customWidth="1"/>
    <col min="5" max="5" width="6.85546875" customWidth="1"/>
    <col min="6" max="6" width="10.5703125" customWidth="1"/>
    <col min="7" max="7" width="5.85546875" customWidth="1"/>
    <col min="8" max="9" width="6" customWidth="1"/>
    <col min="10" max="10" width="6.42578125" customWidth="1"/>
    <col min="11" max="11" width="6.140625" customWidth="1"/>
    <col min="12" max="12" width="7.28515625" customWidth="1"/>
    <col min="13" max="13" width="6.42578125" customWidth="1"/>
    <col min="14" max="14" width="6" customWidth="1"/>
    <col min="15" max="15" width="6.42578125" customWidth="1"/>
  </cols>
  <sheetData>
    <row r="1" spans="1:15" ht="31.5" customHeight="1">
      <c r="A1" s="1892" t="s">
        <v>1579</v>
      </c>
      <c r="B1" s="1892"/>
      <c r="C1" s="1892"/>
      <c r="D1" s="1892"/>
      <c r="E1" s="1892"/>
      <c r="F1" s="1892"/>
      <c r="G1" s="1892"/>
      <c r="H1" s="1892"/>
      <c r="I1" s="1892"/>
      <c r="J1" s="1892"/>
      <c r="K1" s="1892"/>
      <c r="L1" s="1892"/>
      <c r="M1" s="1892"/>
      <c r="N1" s="1892"/>
      <c r="O1" s="1892"/>
    </row>
    <row r="2" spans="1:15">
      <c r="A2" s="219"/>
      <c r="B2" s="219"/>
      <c r="C2" s="219"/>
      <c r="D2" s="219"/>
      <c r="E2" s="219"/>
      <c r="F2" s="665"/>
      <c r="G2" s="219"/>
      <c r="H2" s="219"/>
      <c r="I2" s="219"/>
      <c r="J2" s="219"/>
      <c r="K2" s="219"/>
      <c r="L2" s="219"/>
      <c r="M2" s="219"/>
      <c r="N2" s="219" t="s">
        <v>1225</v>
      </c>
      <c r="O2" s="219"/>
    </row>
    <row r="3" spans="1:15">
      <c r="A3" s="1874" t="s">
        <v>1043</v>
      </c>
      <c r="B3" s="1886" t="s">
        <v>1401</v>
      </c>
      <c r="C3" s="1887"/>
      <c r="D3" s="1899" t="s">
        <v>1425</v>
      </c>
      <c r="E3" s="1874" t="s">
        <v>1402</v>
      </c>
      <c r="F3" s="1902" t="s">
        <v>1403</v>
      </c>
      <c r="G3" s="1881" t="s">
        <v>1405</v>
      </c>
      <c r="H3" s="1905"/>
      <c r="I3" s="1906"/>
      <c r="J3" s="1873" t="s">
        <v>1406</v>
      </c>
      <c r="K3" s="1873"/>
      <c r="L3" s="1873"/>
      <c r="M3" s="1873"/>
      <c r="N3" s="1873"/>
      <c r="O3" s="1873"/>
    </row>
    <row r="4" spans="1:15">
      <c r="A4" s="1875"/>
      <c r="B4" s="1888"/>
      <c r="C4" s="1889"/>
      <c r="D4" s="1900"/>
      <c r="E4" s="1875"/>
      <c r="F4" s="1903"/>
      <c r="G4" s="1886" t="s">
        <v>45</v>
      </c>
      <c r="H4" s="1873" t="s">
        <v>6</v>
      </c>
      <c r="I4" s="1873"/>
      <c r="J4" s="1885" t="s">
        <v>45</v>
      </c>
      <c r="K4" s="129" t="s">
        <v>6</v>
      </c>
      <c r="L4" s="1871" t="s">
        <v>1407</v>
      </c>
      <c r="M4" s="129" t="s">
        <v>6</v>
      </c>
      <c r="N4" s="1873" t="s">
        <v>1408</v>
      </c>
      <c r="O4" s="129" t="s">
        <v>6</v>
      </c>
    </row>
    <row r="5" spans="1:15" ht="51.75" customHeight="1">
      <c r="A5" s="1876"/>
      <c r="B5" s="1890"/>
      <c r="C5" s="1891"/>
      <c r="D5" s="1901"/>
      <c r="E5" s="1876"/>
      <c r="F5" s="1904"/>
      <c r="G5" s="1861"/>
      <c r="H5" s="625" t="s">
        <v>1409</v>
      </c>
      <c r="I5" s="625" t="s">
        <v>1410</v>
      </c>
      <c r="J5" s="1873"/>
      <c r="K5" s="129" t="s">
        <v>1409</v>
      </c>
      <c r="L5" s="1872"/>
      <c r="M5" s="625" t="s">
        <v>1409</v>
      </c>
      <c r="N5" s="1873"/>
      <c r="O5" s="129" t="s">
        <v>1409</v>
      </c>
    </row>
    <row r="6" spans="1:15">
      <c r="A6" s="129" t="s">
        <v>8</v>
      </c>
      <c r="B6" s="1884" t="s">
        <v>1011</v>
      </c>
      <c r="C6" s="1885"/>
      <c r="D6" s="129">
        <v>1</v>
      </c>
      <c r="E6" s="129">
        <v>2</v>
      </c>
      <c r="F6" s="635">
        <v>3</v>
      </c>
      <c r="G6" s="129">
        <v>4</v>
      </c>
      <c r="H6" s="129">
        <v>5</v>
      </c>
      <c r="I6" s="129">
        <v>6</v>
      </c>
      <c r="J6" s="129">
        <v>7</v>
      </c>
      <c r="K6" s="129">
        <v>8</v>
      </c>
      <c r="L6" s="129">
        <v>9</v>
      </c>
      <c r="M6" s="129">
        <v>10</v>
      </c>
      <c r="N6" s="129">
        <v>11</v>
      </c>
      <c r="O6" s="129">
        <v>12</v>
      </c>
    </row>
    <row r="7" spans="1:15" ht="21" customHeight="1">
      <c r="A7" s="1859">
        <v>1</v>
      </c>
      <c r="B7" s="1895" t="s">
        <v>1426</v>
      </c>
      <c r="C7" s="1896"/>
      <c r="D7" s="636"/>
      <c r="E7" s="637"/>
      <c r="F7" s="666"/>
      <c r="G7" s="637"/>
      <c r="H7" s="637"/>
      <c r="I7" s="637"/>
      <c r="J7" s="637"/>
      <c r="K7" s="637"/>
      <c r="L7" s="637"/>
      <c r="M7" s="637"/>
      <c r="N7" s="637"/>
      <c r="O7" s="637"/>
    </row>
    <row r="8" spans="1:15" ht="21" customHeight="1">
      <c r="A8" s="1860"/>
      <c r="B8" s="1897" t="s">
        <v>673</v>
      </c>
      <c r="C8" s="131" t="s">
        <v>1427</v>
      </c>
      <c r="D8" s="487"/>
      <c r="E8" s="129"/>
      <c r="F8" s="667"/>
      <c r="G8" s="129"/>
      <c r="H8" s="129"/>
      <c r="I8" s="129"/>
      <c r="J8" s="129"/>
      <c r="K8" s="129"/>
      <c r="L8" s="129"/>
      <c r="M8" s="129"/>
      <c r="N8" s="129"/>
      <c r="O8" s="129"/>
    </row>
    <row r="9" spans="1:15" ht="21" customHeight="1">
      <c r="A9" s="1860"/>
      <c r="B9" s="1898"/>
      <c r="C9" s="488" t="s">
        <v>1428</v>
      </c>
      <c r="D9" s="626"/>
      <c r="E9" s="624"/>
      <c r="F9" s="668"/>
      <c r="G9" s="624"/>
      <c r="H9" s="624"/>
      <c r="I9" s="624"/>
      <c r="J9" s="624"/>
      <c r="K9" s="624"/>
      <c r="L9" s="624"/>
      <c r="M9" s="624"/>
      <c r="N9" s="624"/>
      <c r="O9" s="624"/>
    </row>
    <row r="10" spans="1:15" ht="21" customHeight="1">
      <c r="A10" s="669"/>
      <c r="B10" s="1909" t="s">
        <v>1429</v>
      </c>
      <c r="C10" s="1910"/>
      <c r="D10" s="222">
        <v>53</v>
      </c>
      <c r="E10" s="222">
        <v>46</v>
      </c>
      <c r="F10" s="670">
        <v>65316.800000000003</v>
      </c>
      <c r="G10" s="222">
        <v>2094</v>
      </c>
      <c r="H10" s="222">
        <v>1025</v>
      </c>
      <c r="I10" s="222">
        <v>204</v>
      </c>
      <c r="J10" s="221"/>
      <c r="K10" s="220"/>
      <c r="L10" s="220"/>
      <c r="M10" s="220"/>
      <c r="N10" s="220"/>
      <c r="O10" s="220"/>
    </row>
    <row r="11" spans="1:15" ht="21" customHeight="1">
      <c r="A11" s="220"/>
      <c r="B11" s="1897" t="s">
        <v>673</v>
      </c>
      <c r="C11" s="131" t="s">
        <v>1427</v>
      </c>
      <c r="D11" s="627">
        <v>43</v>
      </c>
      <c r="E11" s="627">
        <v>36</v>
      </c>
      <c r="F11" s="671">
        <v>49748.6</v>
      </c>
      <c r="G11" s="627">
        <v>1907</v>
      </c>
      <c r="H11" s="627">
        <v>931</v>
      </c>
      <c r="I11" s="627">
        <v>167</v>
      </c>
      <c r="J11" s="220"/>
      <c r="K11" s="220"/>
      <c r="L11" s="220"/>
      <c r="M11" s="220"/>
      <c r="N11" s="220"/>
      <c r="O11" s="220"/>
    </row>
    <row r="12" spans="1:15" ht="21" customHeight="1">
      <c r="A12" s="220"/>
      <c r="B12" s="1898"/>
      <c r="C12" s="488" t="s">
        <v>1428</v>
      </c>
      <c r="D12" s="627">
        <v>10</v>
      </c>
      <c r="E12" s="627">
        <v>10</v>
      </c>
      <c r="F12" s="671">
        <v>15568.2</v>
      </c>
      <c r="G12" s="627">
        <v>187</v>
      </c>
      <c r="H12" s="627">
        <v>94</v>
      </c>
      <c r="I12" s="627">
        <v>37</v>
      </c>
      <c r="J12" s="220"/>
      <c r="K12" s="220"/>
      <c r="L12" s="220"/>
      <c r="M12" s="220"/>
      <c r="N12" s="220"/>
      <c r="O12" s="220"/>
    </row>
    <row r="13" spans="1:15" ht="21" customHeight="1">
      <c r="A13" s="669"/>
      <c r="B13" s="1893" t="s">
        <v>1430</v>
      </c>
      <c r="C13" s="1894"/>
      <c r="D13" s="222">
        <v>3</v>
      </c>
      <c r="E13" s="222">
        <v>2</v>
      </c>
      <c r="F13" s="670">
        <v>4141.2</v>
      </c>
      <c r="G13" s="222">
        <v>116</v>
      </c>
      <c r="H13" s="222">
        <v>56</v>
      </c>
      <c r="I13" s="222">
        <v>10</v>
      </c>
      <c r="J13" s="220"/>
      <c r="K13" s="220"/>
      <c r="L13" s="220"/>
      <c r="M13" s="220"/>
      <c r="N13" s="220"/>
      <c r="O13" s="220"/>
    </row>
    <row r="14" spans="1:15" ht="21" customHeight="1">
      <c r="A14" s="669"/>
      <c r="B14" s="1893" t="s">
        <v>1431</v>
      </c>
      <c r="C14" s="1894"/>
      <c r="D14" s="222">
        <v>70</v>
      </c>
      <c r="E14" s="222">
        <v>6</v>
      </c>
      <c r="F14" s="672">
        <v>42896</v>
      </c>
      <c r="G14" s="222">
        <v>191</v>
      </c>
      <c r="H14" s="222">
        <v>95</v>
      </c>
      <c r="I14" s="222">
        <v>26</v>
      </c>
      <c r="J14" s="220"/>
      <c r="K14" s="220"/>
      <c r="L14" s="220"/>
      <c r="M14" s="220"/>
      <c r="N14" s="220"/>
      <c r="O14" s="220"/>
    </row>
    <row r="15" spans="1:15" ht="21" customHeight="1">
      <c r="A15" s="669"/>
      <c r="B15" s="1893" t="s">
        <v>1432</v>
      </c>
      <c r="C15" s="1894"/>
      <c r="D15" s="627"/>
      <c r="E15" s="627"/>
      <c r="F15" s="615"/>
      <c r="G15" s="627"/>
      <c r="H15" s="627"/>
      <c r="I15" s="627"/>
      <c r="J15" s="220"/>
      <c r="K15" s="220"/>
      <c r="L15" s="220"/>
      <c r="M15" s="220"/>
      <c r="N15" s="220"/>
      <c r="O15" s="220"/>
    </row>
    <row r="16" spans="1:15" ht="21" customHeight="1">
      <c r="A16" s="669"/>
      <c r="B16" s="1893" t="s">
        <v>1433</v>
      </c>
      <c r="C16" s="1894"/>
      <c r="D16" s="222">
        <v>1</v>
      </c>
      <c r="E16" s="222">
        <v>1</v>
      </c>
      <c r="F16" s="672">
        <v>2300</v>
      </c>
      <c r="G16" s="222">
        <v>21</v>
      </c>
      <c r="H16" s="222">
        <v>10</v>
      </c>
      <c r="I16" s="222">
        <v>3</v>
      </c>
      <c r="J16" s="221"/>
      <c r="K16" s="221"/>
      <c r="L16" s="221"/>
      <c r="M16" s="221"/>
      <c r="N16" s="222">
        <v>2</v>
      </c>
      <c r="O16" s="220"/>
    </row>
    <row r="17" spans="1:15" ht="21" customHeight="1">
      <c r="A17" s="220"/>
      <c r="B17" s="1897" t="s">
        <v>673</v>
      </c>
      <c r="C17" s="131" t="s">
        <v>1427</v>
      </c>
      <c r="D17" s="627">
        <v>1</v>
      </c>
      <c r="E17" s="627">
        <v>1</v>
      </c>
      <c r="F17" s="615">
        <v>2300</v>
      </c>
      <c r="G17" s="627">
        <v>21</v>
      </c>
      <c r="H17" s="627">
        <v>10</v>
      </c>
      <c r="I17" s="627">
        <v>3</v>
      </c>
      <c r="J17" s="220"/>
      <c r="K17" s="220"/>
      <c r="L17" s="220"/>
      <c r="M17" s="220"/>
      <c r="N17" s="627">
        <v>2</v>
      </c>
      <c r="O17" s="220"/>
    </row>
    <row r="18" spans="1:15" ht="21" customHeight="1">
      <c r="A18" s="220"/>
      <c r="B18" s="1898"/>
      <c r="C18" s="488" t="s">
        <v>1428</v>
      </c>
      <c r="D18" s="627"/>
      <c r="E18" s="627"/>
      <c r="F18" s="671"/>
      <c r="G18" s="627"/>
      <c r="H18" s="627"/>
      <c r="I18" s="627"/>
      <c r="J18" s="220"/>
      <c r="K18" s="220"/>
      <c r="L18" s="220"/>
      <c r="M18" s="220"/>
      <c r="N18" s="627"/>
      <c r="O18" s="220"/>
    </row>
    <row r="19" spans="1:15" ht="21" customHeight="1">
      <c r="A19" s="669"/>
      <c r="B19" s="1907" t="s">
        <v>1434</v>
      </c>
      <c r="C19" s="1908"/>
      <c r="D19" s="222">
        <v>7</v>
      </c>
      <c r="E19" s="222">
        <v>5</v>
      </c>
      <c r="F19" s="670">
        <v>10998.1</v>
      </c>
      <c r="G19" s="222">
        <v>698</v>
      </c>
      <c r="H19" s="222">
        <v>325</v>
      </c>
      <c r="I19" s="222">
        <v>36</v>
      </c>
      <c r="J19" s="221"/>
      <c r="K19" s="221"/>
      <c r="L19" s="221"/>
      <c r="M19" s="221"/>
      <c r="N19" s="222">
        <v>6</v>
      </c>
      <c r="O19" s="220"/>
    </row>
    <row r="20" spans="1:15" ht="21" customHeight="1">
      <c r="A20" s="220"/>
      <c r="B20" s="1897" t="s">
        <v>673</v>
      </c>
      <c r="C20" s="131" t="s">
        <v>1435</v>
      </c>
      <c r="D20" s="627">
        <v>7</v>
      </c>
      <c r="E20" s="627">
        <v>5</v>
      </c>
      <c r="F20" s="671">
        <v>10998.1</v>
      </c>
      <c r="G20" s="627">
        <v>698</v>
      </c>
      <c r="H20" s="627">
        <v>325</v>
      </c>
      <c r="I20" s="627">
        <v>36</v>
      </c>
      <c r="J20" s="220"/>
      <c r="K20" s="220"/>
      <c r="L20" s="220"/>
      <c r="M20" s="220"/>
      <c r="N20" s="627">
        <v>6</v>
      </c>
      <c r="O20" s="220"/>
    </row>
    <row r="21" spans="1:15" ht="21" customHeight="1">
      <c r="A21" s="220"/>
      <c r="B21" s="1898"/>
      <c r="C21" s="488" t="s">
        <v>1428</v>
      </c>
      <c r="D21" s="627"/>
      <c r="E21" s="627"/>
      <c r="F21" s="671"/>
      <c r="G21" s="627"/>
      <c r="H21" s="627"/>
      <c r="I21" s="627"/>
      <c r="J21" s="220"/>
      <c r="K21" s="220"/>
      <c r="L21" s="220"/>
      <c r="M21" s="220"/>
      <c r="N21" s="627"/>
      <c r="O21" s="220"/>
    </row>
    <row r="22" spans="1:15" ht="21" customHeight="1">
      <c r="A22" s="220"/>
      <c r="B22" s="1911" t="s">
        <v>616</v>
      </c>
      <c r="C22" s="1912"/>
      <c r="D22" s="222">
        <v>24</v>
      </c>
      <c r="E22" s="222">
        <v>24</v>
      </c>
      <c r="F22" s="670">
        <v>81406.100000000006</v>
      </c>
      <c r="G22" s="222">
        <v>6020</v>
      </c>
      <c r="H22" s="222">
        <v>2850</v>
      </c>
      <c r="I22" s="222">
        <v>597</v>
      </c>
      <c r="J22" s="221"/>
      <c r="K22" s="221"/>
      <c r="L22" s="221"/>
      <c r="M22" s="221"/>
      <c r="N22" s="222">
        <v>16</v>
      </c>
      <c r="O22" s="220"/>
    </row>
    <row r="23" spans="1:15" ht="21" customHeight="1">
      <c r="A23" s="669"/>
      <c r="B23" s="1907" t="s">
        <v>5</v>
      </c>
      <c r="C23" s="1908"/>
      <c r="D23" s="627"/>
      <c r="E23" s="222">
        <v>84</v>
      </c>
      <c r="F23" s="670">
        <v>207058.2</v>
      </c>
      <c r="G23" s="222">
        <v>9140</v>
      </c>
      <c r="H23" s="222">
        <v>4361</v>
      </c>
      <c r="I23" s="222">
        <v>876</v>
      </c>
      <c r="J23" s="221"/>
      <c r="K23" s="221"/>
      <c r="L23" s="221"/>
      <c r="M23" s="221"/>
      <c r="N23" s="222">
        <v>24</v>
      </c>
      <c r="O23" s="220"/>
    </row>
    <row r="25" spans="1:15">
      <c r="A25" s="1462">
        <v>64</v>
      </c>
      <c r="B25" s="1462"/>
      <c r="C25" s="1462"/>
      <c r="D25" s="1462"/>
      <c r="E25" s="1462"/>
      <c r="F25" s="1462"/>
      <c r="G25" s="1462"/>
      <c r="H25" s="1462"/>
      <c r="I25" s="1462"/>
      <c r="J25" s="1462"/>
      <c r="K25" s="1462"/>
      <c r="L25" s="1462"/>
      <c r="M25" s="1462"/>
      <c r="N25" s="1462"/>
      <c r="O25" s="1462"/>
    </row>
  </sheetData>
  <mergeCells count="29">
    <mergeCell ref="A25:O25"/>
    <mergeCell ref="A3:A5"/>
    <mergeCell ref="B3:C5"/>
    <mergeCell ref="D3:D5"/>
    <mergeCell ref="E3:E5"/>
    <mergeCell ref="F3:F5"/>
    <mergeCell ref="G3:I3"/>
    <mergeCell ref="B23:C23"/>
    <mergeCell ref="B17:B18"/>
    <mergeCell ref="B19:C19"/>
    <mergeCell ref="N4:N5"/>
    <mergeCell ref="B6:C6"/>
    <mergeCell ref="B10:C10"/>
    <mergeCell ref="B11:B12"/>
    <mergeCell ref="B20:B21"/>
    <mergeCell ref="B22:C22"/>
    <mergeCell ref="A1:O1"/>
    <mergeCell ref="B13:C13"/>
    <mergeCell ref="B14:C14"/>
    <mergeCell ref="B15:C15"/>
    <mergeCell ref="B16:C16"/>
    <mergeCell ref="J4:J5"/>
    <mergeCell ref="L4:L5"/>
    <mergeCell ref="J3:O3"/>
    <mergeCell ref="G4:G5"/>
    <mergeCell ref="H4:I4"/>
    <mergeCell ref="A7:A9"/>
    <mergeCell ref="B7:C7"/>
    <mergeCell ref="B8:B9"/>
  </mergeCells>
  <pageMargins left="0.7" right="0.7" top="0.75" bottom="0.75" header="0.3" footer="0.3"/>
  <pageSetup orientation="landscape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24"/>
  <sheetViews>
    <sheetView workbookViewId="0">
      <selection activeCell="M15" sqref="M15"/>
    </sheetView>
  </sheetViews>
  <sheetFormatPr defaultRowHeight="12.75"/>
  <cols>
    <col min="1" max="1" width="11.42578125" style="846" customWidth="1"/>
    <col min="2" max="2" width="6.7109375" style="846" customWidth="1"/>
    <col min="3" max="3" width="13.42578125" style="846" customWidth="1"/>
    <col min="4" max="4" width="6.7109375" style="846" customWidth="1"/>
    <col min="5" max="5" width="14.42578125" style="846" customWidth="1"/>
    <col min="6" max="6" width="6.42578125" style="846" customWidth="1"/>
    <col min="7" max="7" width="15" style="846" customWidth="1"/>
    <col min="8" max="8" width="6.85546875" style="846" customWidth="1"/>
    <col min="9" max="9" width="14.28515625" style="846" customWidth="1"/>
    <col min="10" max="10" width="6.28515625" style="846" customWidth="1"/>
    <col min="11" max="12" width="6" style="846" customWidth="1"/>
    <col min="13" max="13" width="5.5703125" style="846" customWidth="1"/>
    <col min="14" max="14" width="5.7109375" style="846" customWidth="1"/>
    <col min="15" max="15" width="5.85546875" style="846" customWidth="1"/>
    <col min="16" max="16384" width="9.140625" style="846"/>
  </cols>
  <sheetData>
    <row r="1" spans="1:15" ht="21" customHeight="1">
      <c r="A1" s="1915" t="s">
        <v>1580</v>
      </c>
      <c r="B1" s="1915"/>
      <c r="C1" s="1915"/>
      <c r="D1" s="1915"/>
      <c r="E1" s="1915"/>
      <c r="F1" s="1915"/>
      <c r="G1" s="1915"/>
      <c r="H1" s="1915"/>
      <c r="I1" s="1915"/>
      <c r="J1" s="1915"/>
      <c r="K1" s="1915"/>
      <c r="L1" s="1915"/>
      <c r="M1" s="1915"/>
    </row>
    <row r="2" spans="1:15" s="847" customFormat="1" ht="23.25" customHeight="1">
      <c r="A2" s="1916" t="s">
        <v>649</v>
      </c>
      <c r="B2" s="1914" t="s">
        <v>650</v>
      </c>
      <c r="C2" s="1914"/>
      <c r="D2" s="1914" t="s">
        <v>1387</v>
      </c>
      <c r="E2" s="1914"/>
      <c r="F2" s="1914" t="s">
        <v>651</v>
      </c>
      <c r="G2" s="1914"/>
      <c r="H2" s="1914" t="s">
        <v>600</v>
      </c>
      <c r="I2" s="1914"/>
      <c r="J2" s="1914" t="s">
        <v>652</v>
      </c>
      <c r="K2" s="1914"/>
      <c r="L2" s="1914"/>
      <c r="M2" s="1914"/>
      <c r="N2" s="1914"/>
      <c r="O2" s="1914"/>
    </row>
    <row r="3" spans="1:15" s="850" customFormat="1" ht="27" customHeight="1">
      <c r="A3" s="1916"/>
      <c r="B3" s="848" t="s">
        <v>653</v>
      </c>
      <c r="C3" s="848" t="s">
        <v>654</v>
      </c>
      <c r="D3" s="848" t="s">
        <v>653</v>
      </c>
      <c r="E3" s="848" t="s">
        <v>654</v>
      </c>
      <c r="F3" s="848" t="s">
        <v>653</v>
      </c>
      <c r="G3" s="848" t="s">
        <v>654</v>
      </c>
      <c r="H3" s="848" t="s">
        <v>653</v>
      </c>
      <c r="I3" s="848" t="s">
        <v>654</v>
      </c>
      <c r="J3" s="848" t="s">
        <v>655</v>
      </c>
      <c r="K3" s="849" t="s">
        <v>656</v>
      </c>
      <c r="L3" s="849" t="s">
        <v>657</v>
      </c>
      <c r="M3" s="849" t="s">
        <v>658</v>
      </c>
      <c r="N3" s="849" t="s">
        <v>659</v>
      </c>
      <c r="O3" s="849" t="s">
        <v>660</v>
      </c>
    </row>
    <row r="4" spans="1:15" s="850" customFormat="1">
      <c r="A4" s="851" t="s">
        <v>631</v>
      </c>
      <c r="B4" s="849">
        <v>2</v>
      </c>
      <c r="C4" s="852">
        <v>13874</v>
      </c>
      <c r="D4" s="849">
        <v>16</v>
      </c>
      <c r="E4" s="852">
        <v>1246851.3</v>
      </c>
      <c r="F4" s="849">
        <v>1</v>
      </c>
      <c r="G4" s="852">
        <v>101698</v>
      </c>
      <c r="H4" s="849">
        <f>+B4+D4+F4</f>
        <v>19</v>
      </c>
      <c r="I4" s="852">
        <f>+C4+E4+G4</f>
        <v>1362423.3</v>
      </c>
      <c r="J4" s="849">
        <f>+K4+L4+M4+N4+O4</f>
        <v>6216</v>
      </c>
      <c r="K4" s="849">
        <v>0</v>
      </c>
      <c r="L4" s="849">
        <v>175</v>
      </c>
      <c r="M4" s="849">
        <v>333</v>
      </c>
      <c r="N4" s="849">
        <v>3924</v>
      </c>
      <c r="O4" s="849">
        <v>1784</v>
      </c>
    </row>
    <row r="5" spans="1:15" ht="24.75" customHeight="1">
      <c r="A5" s="851" t="s">
        <v>589</v>
      </c>
      <c r="B5" s="849">
        <v>2</v>
      </c>
      <c r="C5" s="852">
        <v>317060</v>
      </c>
      <c r="D5" s="849">
        <v>0</v>
      </c>
      <c r="E5" s="852">
        <v>0</v>
      </c>
      <c r="F5" s="849">
        <v>11</v>
      </c>
      <c r="G5" s="852">
        <v>184821.4</v>
      </c>
      <c r="H5" s="849">
        <f t="shared" ref="H5:I17" si="0">+B5+D5+F5</f>
        <v>13</v>
      </c>
      <c r="I5" s="852">
        <f t="shared" si="0"/>
        <v>501881.4</v>
      </c>
      <c r="J5" s="849">
        <f t="shared" ref="J5:J17" si="1">+K5+L5+M5+N5+O5</f>
        <v>163</v>
      </c>
      <c r="K5" s="849"/>
      <c r="L5" s="849">
        <v>82</v>
      </c>
      <c r="M5" s="849">
        <v>73</v>
      </c>
      <c r="N5" s="849"/>
      <c r="O5" s="849">
        <v>8</v>
      </c>
    </row>
    <row r="6" spans="1:15" ht="24.75" customHeight="1">
      <c r="A6" s="851" t="s">
        <v>590</v>
      </c>
      <c r="B6" s="849">
        <v>6</v>
      </c>
      <c r="C6" s="852">
        <v>564074</v>
      </c>
      <c r="D6" s="849">
        <v>0</v>
      </c>
      <c r="E6" s="852">
        <v>0</v>
      </c>
      <c r="F6" s="849">
        <v>37</v>
      </c>
      <c r="G6" s="852">
        <v>3244462.3</v>
      </c>
      <c r="H6" s="849">
        <f t="shared" si="0"/>
        <v>43</v>
      </c>
      <c r="I6" s="852">
        <f t="shared" si="0"/>
        <v>3808536.3</v>
      </c>
      <c r="J6" s="849">
        <f t="shared" si="1"/>
        <v>12477</v>
      </c>
      <c r="K6" s="849">
        <v>69</v>
      </c>
      <c r="L6" s="849">
        <v>1227</v>
      </c>
      <c r="M6" s="849">
        <v>949</v>
      </c>
      <c r="N6" s="849">
        <v>6890</v>
      </c>
      <c r="O6" s="849">
        <v>3342</v>
      </c>
    </row>
    <row r="7" spans="1:15" ht="24.75" customHeight="1">
      <c r="A7" s="851" t="s">
        <v>630</v>
      </c>
      <c r="B7" s="849">
        <v>2</v>
      </c>
      <c r="C7" s="852">
        <v>268000</v>
      </c>
      <c r="D7" s="849">
        <v>6</v>
      </c>
      <c r="E7" s="852">
        <v>501064</v>
      </c>
      <c r="F7" s="849">
        <v>6</v>
      </c>
      <c r="G7" s="852">
        <v>261225</v>
      </c>
      <c r="H7" s="849">
        <f t="shared" si="0"/>
        <v>14</v>
      </c>
      <c r="I7" s="852">
        <f t="shared" si="0"/>
        <v>1030289</v>
      </c>
      <c r="J7" s="849">
        <f t="shared" si="1"/>
        <v>1885</v>
      </c>
      <c r="K7" s="849">
        <v>0</v>
      </c>
      <c r="L7" s="849">
        <v>52</v>
      </c>
      <c r="M7" s="849">
        <v>374</v>
      </c>
      <c r="N7" s="849">
        <v>716</v>
      </c>
      <c r="O7" s="849">
        <v>743</v>
      </c>
    </row>
    <row r="8" spans="1:15" ht="24.75" customHeight="1">
      <c r="A8" s="851" t="s">
        <v>591</v>
      </c>
      <c r="B8" s="849">
        <v>22</v>
      </c>
      <c r="C8" s="852">
        <f>1905737.93+148000</f>
        <v>2053737.93</v>
      </c>
      <c r="D8" s="849">
        <v>0</v>
      </c>
      <c r="E8" s="852">
        <v>0</v>
      </c>
      <c r="F8" s="849">
        <v>31</v>
      </c>
      <c r="G8" s="852">
        <v>1871434.9</v>
      </c>
      <c r="H8" s="849">
        <f t="shared" si="0"/>
        <v>53</v>
      </c>
      <c r="I8" s="852">
        <f t="shared" si="0"/>
        <v>3925172.83</v>
      </c>
      <c r="J8" s="849">
        <f t="shared" si="1"/>
        <v>10563</v>
      </c>
      <c r="K8" s="849">
        <v>0</v>
      </c>
      <c r="L8" s="849">
        <v>577</v>
      </c>
      <c r="M8" s="849">
        <v>934</v>
      </c>
      <c r="N8" s="849">
        <v>5919</v>
      </c>
      <c r="O8" s="849">
        <v>3133</v>
      </c>
    </row>
    <row r="9" spans="1:15" ht="24.75" customHeight="1">
      <c r="A9" s="851" t="s">
        <v>592</v>
      </c>
      <c r="B9" s="849">
        <v>0</v>
      </c>
      <c r="C9" s="852">
        <v>0</v>
      </c>
      <c r="D9" s="849">
        <v>0</v>
      </c>
      <c r="E9" s="852">
        <v>0</v>
      </c>
      <c r="F9" s="849">
        <v>69</v>
      </c>
      <c r="G9" s="852">
        <v>4079797</v>
      </c>
      <c r="H9" s="849">
        <f t="shared" si="0"/>
        <v>69</v>
      </c>
      <c r="I9" s="852">
        <f t="shared" si="0"/>
        <v>4079797</v>
      </c>
      <c r="J9" s="849">
        <f t="shared" si="1"/>
        <v>15795</v>
      </c>
      <c r="K9" s="849">
        <v>4</v>
      </c>
      <c r="L9" s="849">
        <v>1464</v>
      </c>
      <c r="M9" s="849">
        <v>1246</v>
      </c>
      <c r="N9" s="849">
        <v>9269</v>
      </c>
      <c r="O9" s="849">
        <v>3812</v>
      </c>
    </row>
    <row r="10" spans="1:15" ht="24.75" customHeight="1">
      <c r="A10" s="851" t="s">
        <v>593</v>
      </c>
      <c r="B10" s="849">
        <v>3</v>
      </c>
      <c r="C10" s="852">
        <v>236834</v>
      </c>
      <c r="D10" s="849">
        <v>0</v>
      </c>
      <c r="E10" s="852">
        <v>0</v>
      </c>
      <c r="F10" s="849">
        <v>0</v>
      </c>
      <c r="G10" s="852">
        <v>0</v>
      </c>
      <c r="H10" s="849">
        <f t="shared" si="0"/>
        <v>3</v>
      </c>
      <c r="I10" s="852">
        <f t="shared" si="0"/>
        <v>236834</v>
      </c>
      <c r="J10" s="849">
        <f t="shared" si="1"/>
        <v>735</v>
      </c>
      <c r="K10" s="849">
        <v>0</v>
      </c>
      <c r="L10" s="849">
        <v>0</v>
      </c>
      <c r="M10" s="849">
        <v>63</v>
      </c>
      <c r="N10" s="849">
        <v>498</v>
      </c>
      <c r="O10" s="849">
        <v>174</v>
      </c>
    </row>
    <row r="11" spans="1:15" ht="24.75" customHeight="1">
      <c r="A11" s="851" t="s">
        <v>594</v>
      </c>
      <c r="B11" s="849">
        <v>45</v>
      </c>
      <c r="C11" s="852">
        <f>3556258.01-148000</f>
        <v>3408258.01</v>
      </c>
      <c r="D11" s="849">
        <v>3</v>
      </c>
      <c r="E11" s="852">
        <v>58656</v>
      </c>
      <c r="F11" s="849">
        <v>1</v>
      </c>
      <c r="G11" s="852">
        <v>52933</v>
      </c>
      <c r="H11" s="849">
        <f t="shared" si="0"/>
        <v>49</v>
      </c>
      <c r="I11" s="852">
        <f t="shared" si="0"/>
        <v>3519847.01</v>
      </c>
      <c r="J11" s="849">
        <f t="shared" si="1"/>
        <v>7198</v>
      </c>
      <c r="K11" s="849">
        <v>3</v>
      </c>
      <c r="L11" s="849">
        <v>1314</v>
      </c>
      <c r="M11" s="849">
        <v>619</v>
      </c>
      <c r="N11" s="849">
        <v>4641</v>
      </c>
      <c r="O11" s="849">
        <v>621</v>
      </c>
    </row>
    <row r="12" spans="1:15" ht="24.75" customHeight="1">
      <c r="A12" s="851" t="s">
        <v>597</v>
      </c>
      <c r="B12" s="849">
        <v>0</v>
      </c>
      <c r="C12" s="852">
        <v>0</v>
      </c>
      <c r="D12" s="849">
        <v>0</v>
      </c>
      <c r="E12" s="852">
        <v>0</v>
      </c>
      <c r="F12" s="849">
        <v>24</v>
      </c>
      <c r="G12" s="852">
        <v>453769</v>
      </c>
      <c r="H12" s="849">
        <f t="shared" si="0"/>
        <v>24</v>
      </c>
      <c r="I12" s="852">
        <f t="shared" si="0"/>
        <v>453769</v>
      </c>
      <c r="J12" s="849">
        <f t="shared" si="1"/>
        <v>1005</v>
      </c>
      <c r="K12" s="849">
        <v>0</v>
      </c>
      <c r="L12" s="849">
        <v>91</v>
      </c>
      <c r="M12" s="849">
        <v>207</v>
      </c>
      <c r="N12" s="849">
        <v>571</v>
      </c>
      <c r="O12" s="849">
        <v>136</v>
      </c>
    </row>
    <row r="13" spans="1:15" ht="24.75" customHeight="1">
      <c r="A13" s="851" t="s">
        <v>598</v>
      </c>
      <c r="B13" s="849">
        <v>0</v>
      </c>
      <c r="C13" s="852">
        <v>0</v>
      </c>
      <c r="D13" s="849">
        <v>17</v>
      </c>
      <c r="E13" s="852">
        <v>152274</v>
      </c>
      <c r="F13" s="849">
        <v>1</v>
      </c>
      <c r="G13" s="852">
        <v>147000</v>
      </c>
      <c r="H13" s="849">
        <f t="shared" si="0"/>
        <v>18</v>
      </c>
      <c r="I13" s="852">
        <f t="shared" si="0"/>
        <v>299274</v>
      </c>
      <c r="J13" s="849">
        <f t="shared" si="1"/>
        <v>388</v>
      </c>
      <c r="K13" s="849">
        <v>0</v>
      </c>
      <c r="L13" s="849">
        <v>56</v>
      </c>
      <c r="M13" s="849">
        <v>140</v>
      </c>
      <c r="N13" s="849">
        <v>56</v>
      </c>
      <c r="O13" s="849">
        <v>136</v>
      </c>
    </row>
    <row r="14" spans="1:15" ht="24.75" customHeight="1">
      <c r="A14" s="851" t="s">
        <v>632</v>
      </c>
      <c r="B14" s="849">
        <v>0</v>
      </c>
      <c r="C14" s="852">
        <v>0</v>
      </c>
      <c r="D14" s="849">
        <v>3</v>
      </c>
      <c r="E14" s="852">
        <v>736070</v>
      </c>
      <c r="F14" s="849">
        <v>13</v>
      </c>
      <c r="G14" s="852">
        <v>1068603</v>
      </c>
      <c r="H14" s="849">
        <f t="shared" si="0"/>
        <v>16</v>
      </c>
      <c r="I14" s="852">
        <f t="shared" si="0"/>
        <v>1804673</v>
      </c>
      <c r="J14" s="849">
        <f t="shared" si="1"/>
        <v>1688</v>
      </c>
      <c r="K14" s="849">
        <v>0</v>
      </c>
      <c r="L14" s="849">
        <v>17</v>
      </c>
      <c r="M14" s="849">
        <v>189</v>
      </c>
      <c r="N14" s="849">
        <v>207</v>
      </c>
      <c r="O14" s="849">
        <v>1275</v>
      </c>
    </row>
    <row r="15" spans="1:15" ht="24.75" customHeight="1">
      <c r="A15" s="851" t="s">
        <v>595</v>
      </c>
      <c r="B15" s="849">
        <v>11</v>
      </c>
      <c r="C15" s="852">
        <v>1191829</v>
      </c>
      <c r="D15" s="849">
        <v>0</v>
      </c>
      <c r="E15" s="852">
        <v>0</v>
      </c>
      <c r="F15" s="849">
        <v>29</v>
      </c>
      <c r="G15" s="852">
        <v>954984.2</v>
      </c>
      <c r="H15" s="849">
        <f t="shared" si="0"/>
        <v>40</v>
      </c>
      <c r="I15" s="852">
        <f t="shared" si="0"/>
        <v>2146813.2000000002</v>
      </c>
      <c r="J15" s="849">
        <f t="shared" si="1"/>
        <v>2048</v>
      </c>
      <c r="K15" s="849">
        <v>8</v>
      </c>
      <c r="L15" s="849">
        <v>70</v>
      </c>
      <c r="M15" s="849">
        <v>278</v>
      </c>
      <c r="N15" s="849">
        <v>797</v>
      </c>
      <c r="O15" s="849">
        <v>895</v>
      </c>
    </row>
    <row r="16" spans="1:15" ht="24.75" customHeight="1">
      <c r="A16" s="851" t="s">
        <v>596</v>
      </c>
      <c r="B16" s="849">
        <v>0</v>
      </c>
      <c r="C16" s="852">
        <v>0</v>
      </c>
      <c r="D16" s="849">
        <v>0</v>
      </c>
      <c r="E16" s="852">
        <v>0</v>
      </c>
      <c r="F16" s="849">
        <v>30</v>
      </c>
      <c r="G16" s="852">
        <v>2135187</v>
      </c>
      <c r="H16" s="849">
        <f t="shared" si="0"/>
        <v>30</v>
      </c>
      <c r="I16" s="852">
        <f t="shared" si="0"/>
        <v>2135187</v>
      </c>
      <c r="J16" s="849">
        <f t="shared" si="1"/>
        <v>5913</v>
      </c>
      <c r="K16" s="849">
        <v>0</v>
      </c>
      <c r="L16" s="849">
        <v>936</v>
      </c>
      <c r="M16" s="849">
        <v>895</v>
      </c>
      <c r="N16" s="849">
        <v>1425</v>
      </c>
      <c r="O16" s="849">
        <v>2657</v>
      </c>
    </row>
    <row r="17" spans="1:15" ht="24.75" customHeight="1">
      <c r="A17" s="851" t="s">
        <v>599</v>
      </c>
      <c r="B17" s="849">
        <v>0</v>
      </c>
      <c r="C17" s="852">
        <v>0</v>
      </c>
      <c r="D17" s="849">
        <v>0</v>
      </c>
      <c r="E17" s="852">
        <v>0</v>
      </c>
      <c r="F17" s="849">
        <v>51</v>
      </c>
      <c r="G17" s="852">
        <v>732624</v>
      </c>
      <c r="H17" s="849">
        <f t="shared" si="0"/>
        <v>51</v>
      </c>
      <c r="I17" s="852">
        <f t="shared" si="0"/>
        <v>732624</v>
      </c>
      <c r="J17" s="849">
        <f t="shared" si="1"/>
        <v>703</v>
      </c>
      <c r="K17" s="849">
        <v>0</v>
      </c>
      <c r="L17" s="849">
        <v>190</v>
      </c>
      <c r="M17" s="849">
        <v>255</v>
      </c>
      <c r="N17" s="849">
        <v>123</v>
      </c>
      <c r="O17" s="849">
        <v>135</v>
      </c>
    </row>
    <row r="18" spans="1:15" s="847" customFormat="1" ht="24.75" customHeight="1">
      <c r="A18" s="853" t="s">
        <v>1388</v>
      </c>
      <c r="B18" s="853">
        <f>SUM(B4:B17)</f>
        <v>93</v>
      </c>
      <c r="C18" s="854">
        <f t="shared" ref="C18:O18" si="2">SUM(C4:C17)</f>
        <v>8053666.9399999995</v>
      </c>
      <c r="D18" s="853">
        <f>SUM(D4:D17)</f>
        <v>45</v>
      </c>
      <c r="E18" s="854">
        <f t="shared" si="2"/>
        <v>2694915.3</v>
      </c>
      <c r="F18" s="853">
        <f>SUM(F4:F17)</f>
        <v>304</v>
      </c>
      <c r="G18" s="854">
        <f t="shared" si="2"/>
        <v>15288538.799999999</v>
      </c>
      <c r="H18" s="853">
        <f t="shared" si="2"/>
        <v>442</v>
      </c>
      <c r="I18" s="854">
        <f t="shared" si="2"/>
        <v>26037121.039999999</v>
      </c>
      <c r="J18" s="853">
        <f t="shared" si="2"/>
        <v>66777</v>
      </c>
      <c r="K18" s="853">
        <f t="shared" si="2"/>
        <v>84</v>
      </c>
      <c r="L18" s="853">
        <f t="shared" si="2"/>
        <v>6251</v>
      </c>
      <c r="M18" s="853">
        <f t="shared" si="2"/>
        <v>6555</v>
      </c>
      <c r="N18" s="853">
        <f t="shared" si="2"/>
        <v>35036</v>
      </c>
      <c r="O18" s="853">
        <f t="shared" si="2"/>
        <v>18851</v>
      </c>
    </row>
    <row r="19" spans="1:15" ht="24.75" customHeight="1">
      <c r="A19" s="621"/>
      <c r="B19" s="622"/>
      <c r="C19" s="623"/>
      <c r="D19" s="622"/>
      <c r="E19" s="623"/>
      <c r="F19" s="622"/>
      <c r="G19" s="623"/>
      <c r="H19" s="622"/>
      <c r="I19" s="622"/>
      <c r="J19" s="622"/>
      <c r="K19" s="622"/>
      <c r="L19" s="622"/>
      <c r="M19" s="622"/>
    </row>
    <row r="21" spans="1:15">
      <c r="E21" s="855"/>
    </row>
    <row r="23" spans="1:15">
      <c r="A23" s="856"/>
      <c r="B23" s="856"/>
      <c r="C23" s="856"/>
      <c r="D23" s="856"/>
      <c r="E23" s="856"/>
      <c r="F23" s="856"/>
      <c r="G23" s="856"/>
      <c r="H23" s="856"/>
      <c r="I23" s="856"/>
      <c r="J23" s="856"/>
      <c r="K23" s="856"/>
      <c r="L23" s="856"/>
      <c r="M23" s="856"/>
    </row>
    <row r="24" spans="1:15">
      <c r="A24" s="1913">
        <v>65</v>
      </c>
      <c r="B24" s="1913"/>
      <c r="C24" s="1913"/>
      <c r="D24" s="1913"/>
      <c r="E24" s="1913"/>
      <c r="F24" s="1913"/>
      <c r="G24" s="1913"/>
      <c r="H24" s="1913"/>
      <c r="I24" s="1913"/>
      <c r="J24" s="1913"/>
      <c r="K24" s="1913"/>
      <c r="L24" s="1913"/>
      <c r="M24" s="1913"/>
      <c r="N24" s="1913"/>
      <c r="O24" s="1913"/>
    </row>
  </sheetData>
  <mergeCells count="8">
    <mergeCell ref="A24:O24"/>
    <mergeCell ref="F2:G2"/>
    <mergeCell ref="H2:I2"/>
    <mergeCell ref="J2:O2"/>
    <mergeCell ref="A1:M1"/>
    <mergeCell ref="A2:A3"/>
    <mergeCell ref="B2:C2"/>
    <mergeCell ref="D2:E2"/>
  </mergeCells>
  <pageMargins left="0.7" right="0.22" top="0.75" bottom="0.75" header="0.3" footer="0.3"/>
  <pageSetup orientation="landscape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C00000"/>
  </sheetPr>
  <dimension ref="A1:AH45"/>
  <sheetViews>
    <sheetView workbookViewId="0">
      <selection activeCell="A46" sqref="A46"/>
    </sheetView>
  </sheetViews>
  <sheetFormatPr defaultRowHeight="12.75"/>
  <cols>
    <col min="1" max="1" width="15.85546875" style="2" customWidth="1"/>
    <col min="2" max="2" width="5.42578125" style="2" customWidth="1"/>
    <col min="3" max="3" width="5" style="2" customWidth="1"/>
    <col min="4" max="4" width="4.42578125" style="2" customWidth="1"/>
    <col min="5" max="5" width="4.140625" style="2" customWidth="1"/>
    <col min="6" max="6" width="5.28515625" style="2" customWidth="1"/>
    <col min="7" max="7" width="5" style="2" customWidth="1"/>
    <col min="8" max="8" width="6.140625" style="2" customWidth="1"/>
    <col min="9" max="9" width="5.85546875" style="2" customWidth="1"/>
    <col min="10" max="10" width="5.7109375" style="2" customWidth="1"/>
    <col min="11" max="11" width="6.5703125" style="2" customWidth="1"/>
    <col min="12" max="12" width="5.7109375" style="2" customWidth="1"/>
    <col min="13" max="14" width="5.140625" style="2" customWidth="1"/>
    <col min="15" max="15" width="5.42578125" style="2" customWidth="1"/>
    <col min="16" max="16" width="4.42578125" style="2" customWidth="1"/>
    <col min="17" max="17" width="4" style="2" customWidth="1"/>
    <col min="18" max="18" width="4.140625" style="2" hidden="1" customWidth="1"/>
    <col min="19" max="19" width="5.28515625" style="2" customWidth="1"/>
    <col min="20" max="20" width="5.5703125" style="2" customWidth="1"/>
    <col min="21" max="21" width="4.85546875" style="2" customWidth="1"/>
    <col min="22" max="22" width="4.42578125" style="2" customWidth="1"/>
    <col min="23" max="24" width="5" style="2" customWidth="1"/>
    <col min="25" max="25" width="5.5703125" style="2" customWidth="1"/>
    <col min="26" max="32" width="3.7109375" style="2" customWidth="1"/>
    <col min="33" max="33" width="4.85546875" style="2" customWidth="1"/>
    <col min="34" max="34" width="4.42578125" style="2" customWidth="1"/>
    <col min="35" max="51" width="3.7109375" style="2" customWidth="1"/>
    <col min="52" max="16384" width="9.140625" style="2"/>
  </cols>
  <sheetData>
    <row r="1" spans="1:34" ht="30.75" customHeight="1">
      <c r="A1" s="132"/>
      <c r="B1" s="1843" t="s">
        <v>1222</v>
      </c>
      <c r="C1" s="1843"/>
      <c r="D1" s="1843"/>
      <c r="E1" s="1843"/>
      <c r="F1" s="1843"/>
      <c r="G1" s="1843"/>
      <c r="H1" s="1843"/>
      <c r="I1" s="1843"/>
      <c r="J1" s="1843"/>
      <c r="K1" s="1843"/>
      <c r="L1" s="1843"/>
      <c r="M1" s="1843"/>
      <c r="N1" s="1843"/>
      <c r="O1" s="1843"/>
      <c r="P1" s="1843"/>
      <c r="Q1" s="1843"/>
      <c r="R1" s="1843"/>
      <c r="S1" s="1843"/>
      <c r="T1" s="1843"/>
      <c r="U1" s="1843"/>
      <c r="V1" s="1843"/>
      <c r="W1" s="1843"/>
      <c r="X1" s="1843"/>
      <c r="Y1" s="1843"/>
      <c r="Z1" s="1843"/>
      <c r="AA1" s="1843"/>
      <c r="AB1" s="1843"/>
      <c r="AC1" s="1843"/>
      <c r="AD1" s="1843"/>
      <c r="AE1" s="1843"/>
      <c r="AF1" s="1843"/>
      <c r="AG1" s="1843"/>
      <c r="AH1" s="1843"/>
    </row>
    <row r="2" spans="1:34">
      <c r="A2" s="132"/>
      <c r="B2" s="132"/>
      <c r="C2" s="132"/>
      <c r="D2" s="132"/>
      <c r="E2" s="132"/>
      <c r="F2" s="132"/>
      <c r="G2" s="132"/>
      <c r="H2" s="132"/>
      <c r="I2" s="132"/>
      <c r="J2" s="133"/>
      <c r="K2" s="134"/>
      <c r="L2" s="134"/>
      <c r="M2" s="1939" t="s">
        <v>601</v>
      </c>
      <c r="N2" s="1939"/>
      <c r="O2" s="1939"/>
      <c r="P2" s="1939"/>
      <c r="Q2" s="1939"/>
      <c r="R2" s="1939"/>
      <c r="S2" s="1939"/>
      <c r="T2" s="1939"/>
      <c r="U2" s="134"/>
      <c r="V2" s="134"/>
      <c r="W2" s="134"/>
      <c r="X2" s="134"/>
      <c r="Y2" s="133"/>
      <c r="Z2" s="133"/>
      <c r="AA2" s="132"/>
      <c r="AB2" s="132"/>
      <c r="AC2" s="132"/>
      <c r="AD2" s="132"/>
      <c r="AE2" s="132"/>
      <c r="AF2" s="132"/>
      <c r="AG2" s="132"/>
      <c r="AH2" s="132"/>
    </row>
    <row r="3" spans="1:34">
      <c r="A3" s="135" t="s">
        <v>1225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940" t="s">
        <v>602</v>
      </c>
      <c r="AE3" s="1940"/>
      <c r="AF3" s="1940"/>
      <c r="AG3" s="1940"/>
      <c r="AH3" s="1940"/>
    </row>
    <row r="4" spans="1:34">
      <c r="A4" s="1944"/>
      <c r="B4" s="1941" t="s">
        <v>603</v>
      </c>
      <c r="C4" s="1941"/>
      <c r="D4" s="1941" t="s">
        <v>604</v>
      </c>
      <c r="E4" s="1941"/>
      <c r="F4" s="1941" t="s">
        <v>605</v>
      </c>
      <c r="G4" s="1941"/>
      <c r="H4" s="1941" t="s">
        <v>606</v>
      </c>
      <c r="I4" s="1941"/>
      <c r="J4" s="1941" t="s">
        <v>607</v>
      </c>
      <c r="K4" s="1941"/>
      <c r="L4" s="1941" t="s">
        <v>608</v>
      </c>
      <c r="M4" s="1941"/>
      <c r="N4" s="1942" t="s">
        <v>609</v>
      </c>
      <c r="O4" s="1942"/>
      <c r="P4" s="1942" t="s">
        <v>610</v>
      </c>
      <c r="Q4" s="1942"/>
      <c r="R4" s="1941" t="s">
        <v>611</v>
      </c>
      <c r="S4" s="1941"/>
      <c r="T4" s="1942"/>
      <c r="U4" s="1942" t="s">
        <v>6</v>
      </c>
      <c r="V4" s="1942"/>
      <c r="W4" s="1942"/>
      <c r="X4" s="1942"/>
      <c r="Y4" s="1942" t="s">
        <v>612</v>
      </c>
      <c r="Z4" s="1942"/>
      <c r="AA4" s="1942" t="s">
        <v>613</v>
      </c>
      <c r="AB4" s="1942"/>
      <c r="AC4" s="1942" t="s">
        <v>614</v>
      </c>
      <c r="AD4" s="1942"/>
      <c r="AE4" s="1942" t="s">
        <v>615</v>
      </c>
      <c r="AF4" s="1942"/>
      <c r="AG4" s="1942" t="s">
        <v>616</v>
      </c>
      <c r="AH4" s="1942"/>
    </row>
    <row r="5" spans="1:34" ht="46.5" customHeight="1">
      <c r="A5" s="1944"/>
      <c r="B5" s="1941"/>
      <c r="C5" s="1941"/>
      <c r="D5" s="1941"/>
      <c r="E5" s="1941"/>
      <c r="F5" s="1941"/>
      <c r="G5" s="1941"/>
      <c r="H5" s="1941"/>
      <c r="I5" s="1941"/>
      <c r="J5" s="1941"/>
      <c r="K5" s="1941"/>
      <c r="L5" s="1941"/>
      <c r="M5" s="1941"/>
      <c r="N5" s="1942"/>
      <c r="O5" s="1942"/>
      <c r="P5" s="1942"/>
      <c r="Q5" s="1942"/>
      <c r="R5" s="1942"/>
      <c r="S5" s="1942"/>
      <c r="T5" s="1942"/>
      <c r="U5" s="1942" t="s">
        <v>617</v>
      </c>
      <c r="V5" s="1942"/>
      <c r="W5" s="1942" t="s">
        <v>618</v>
      </c>
      <c r="X5" s="1942"/>
      <c r="Y5" s="1942"/>
      <c r="Z5" s="1942"/>
      <c r="AA5" s="1942"/>
      <c r="AB5" s="1942"/>
      <c r="AC5" s="1942"/>
      <c r="AD5" s="1942"/>
      <c r="AE5" s="1942"/>
      <c r="AF5" s="1942"/>
      <c r="AG5" s="1942"/>
      <c r="AH5" s="1942"/>
    </row>
    <row r="6" spans="1:34" ht="51.75" customHeight="1">
      <c r="A6" s="1944"/>
      <c r="B6" s="136">
        <v>2011</v>
      </c>
      <c r="C6" s="137">
        <v>2012</v>
      </c>
      <c r="D6" s="136">
        <v>2011</v>
      </c>
      <c r="E6" s="137">
        <v>2012</v>
      </c>
      <c r="F6" s="136">
        <v>2011</v>
      </c>
      <c r="G6" s="137">
        <v>2012</v>
      </c>
      <c r="H6" s="136">
        <v>2011</v>
      </c>
      <c r="I6" s="137">
        <v>2012</v>
      </c>
      <c r="J6" s="136">
        <v>2011</v>
      </c>
      <c r="K6" s="137">
        <v>2012</v>
      </c>
      <c r="L6" s="136">
        <v>2011</v>
      </c>
      <c r="M6" s="137">
        <v>2012</v>
      </c>
      <c r="N6" s="136">
        <v>2011</v>
      </c>
      <c r="O6" s="137">
        <v>2012</v>
      </c>
      <c r="P6" s="136">
        <v>2011</v>
      </c>
      <c r="Q6" s="137">
        <v>2012</v>
      </c>
      <c r="R6" s="136">
        <v>2010</v>
      </c>
      <c r="S6" s="136">
        <v>2011</v>
      </c>
      <c r="T6" s="137">
        <v>2012</v>
      </c>
      <c r="U6" s="136">
        <v>2011</v>
      </c>
      <c r="V6" s="137">
        <v>2012</v>
      </c>
      <c r="W6" s="136">
        <v>2011</v>
      </c>
      <c r="X6" s="137">
        <v>2012</v>
      </c>
      <c r="Y6" s="136">
        <v>2011</v>
      </c>
      <c r="Z6" s="137">
        <v>2012</v>
      </c>
      <c r="AA6" s="136">
        <v>2011</v>
      </c>
      <c r="AB6" s="137">
        <v>2012</v>
      </c>
      <c r="AC6" s="136">
        <v>2011</v>
      </c>
      <c r="AD6" s="137">
        <v>2012</v>
      </c>
      <c r="AE6" s="136">
        <v>2011</v>
      </c>
      <c r="AF6" s="137">
        <v>2012</v>
      </c>
      <c r="AG6" s="136">
        <v>2011</v>
      </c>
      <c r="AH6" s="137">
        <v>2012</v>
      </c>
    </row>
    <row r="7" spans="1:34">
      <c r="A7" s="129" t="s">
        <v>619</v>
      </c>
      <c r="B7" s="138">
        <f t="shared" ref="B7:B31" si="0">SUM(F7,H7,J7,L7,N7,P7,R7,Y7,AA7,AC7,AE7,AG7)</f>
        <v>32</v>
      </c>
      <c r="C7" s="138">
        <v>33</v>
      </c>
      <c r="D7" s="138">
        <v>3</v>
      </c>
      <c r="E7" s="138">
        <v>3</v>
      </c>
      <c r="F7" s="138"/>
      <c r="G7" s="138">
        <v>1</v>
      </c>
      <c r="H7" s="138">
        <v>1</v>
      </c>
      <c r="I7" s="138"/>
      <c r="J7" s="129"/>
      <c r="K7" s="138">
        <v>1</v>
      </c>
      <c r="L7" s="138">
        <v>2</v>
      </c>
      <c r="M7" s="138">
        <v>3</v>
      </c>
      <c r="N7" s="138">
        <v>10</v>
      </c>
      <c r="O7" s="138">
        <v>11</v>
      </c>
      <c r="P7" s="129"/>
      <c r="Q7" s="138"/>
      <c r="R7" s="129">
        <v>8</v>
      </c>
      <c r="S7" s="129">
        <v>9</v>
      </c>
      <c r="T7" s="138">
        <v>7</v>
      </c>
      <c r="U7" s="139">
        <v>4</v>
      </c>
      <c r="V7" s="139">
        <v>3</v>
      </c>
      <c r="W7" s="139">
        <v>1</v>
      </c>
      <c r="X7" s="139">
        <v>2</v>
      </c>
      <c r="Y7" s="138">
        <v>8</v>
      </c>
      <c r="Z7" s="138">
        <v>5</v>
      </c>
      <c r="AA7" s="138">
        <v>1</v>
      </c>
      <c r="AB7" s="138"/>
      <c r="AC7" s="138"/>
      <c r="AD7" s="138"/>
      <c r="AE7" s="138"/>
      <c r="AF7" s="138"/>
      <c r="AG7" s="138">
        <v>2</v>
      </c>
      <c r="AH7" s="138">
        <v>5</v>
      </c>
    </row>
    <row r="8" spans="1:34">
      <c r="A8" s="129" t="s">
        <v>620</v>
      </c>
      <c r="B8" s="138">
        <f t="shared" si="0"/>
        <v>31</v>
      </c>
      <c r="C8" s="138">
        <v>32</v>
      </c>
      <c r="D8" s="138">
        <v>1</v>
      </c>
      <c r="E8" s="138">
        <v>2</v>
      </c>
      <c r="F8" s="138"/>
      <c r="G8" s="138"/>
      <c r="H8" s="138">
        <v>3</v>
      </c>
      <c r="I8" s="138">
        <v>1</v>
      </c>
      <c r="J8" s="129"/>
      <c r="K8" s="138"/>
      <c r="L8" s="138">
        <v>1</v>
      </c>
      <c r="M8" s="138">
        <v>2</v>
      </c>
      <c r="N8" s="138">
        <v>12</v>
      </c>
      <c r="O8" s="138">
        <v>13</v>
      </c>
      <c r="P8" s="129"/>
      <c r="Q8" s="138"/>
      <c r="R8" s="129">
        <v>11</v>
      </c>
      <c r="S8" s="129">
        <v>7</v>
      </c>
      <c r="T8" s="138">
        <v>8</v>
      </c>
      <c r="U8" s="139">
        <v>4</v>
      </c>
      <c r="V8" s="139">
        <v>7</v>
      </c>
      <c r="W8" s="139">
        <v>3</v>
      </c>
      <c r="X8" s="139">
        <v>1</v>
      </c>
      <c r="Y8" s="138"/>
      <c r="Z8" s="138">
        <v>3</v>
      </c>
      <c r="AA8" s="138"/>
      <c r="AB8" s="138"/>
      <c r="AC8" s="138"/>
      <c r="AD8" s="138"/>
      <c r="AE8" s="138"/>
      <c r="AF8" s="138"/>
      <c r="AG8" s="138">
        <v>4</v>
      </c>
      <c r="AH8" s="138">
        <v>5</v>
      </c>
    </row>
    <row r="9" spans="1:34">
      <c r="A9" s="129" t="s">
        <v>621</v>
      </c>
      <c r="B9" s="138">
        <f t="shared" si="0"/>
        <v>7</v>
      </c>
      <c r="C9" s="138">
        <v>10</v>
      </c>
      <c r="D9" s="138">
        <v>2</v>
      </c>
      <c r="E9" s="138"/>
      <c r="F9" s="138"/>
      <c r="G9" s="138"/>
      <c r="H9" s="138"/>
      <c r="I9" s="138"/>
      <c r="J9" s="129"/>
      <c r="K9" s="138"/>
      <c r="L9" s="138"/>
      <c r="M9" s="138">
        <v>1</v>
      </c>
      <c r="N9" s="138">
        <v>3</v>
      </c>
      <c r="O9" s="138">
        <v>5</v>
      </c>
      <c r="P9" s="129"/>
      <c r="Q9" s="138"/>
      <c r="R9" s="129">
        <v>2</v>
      </c>
      <c r="S9" s="129">
        <v>2</v>
      </c>
      <c r="T9" s="138">
        <v>2</v>
      </c>
      <c r="U9" s="139">
        <v>1</v>
      </c>
      <c r="V9" s="139">
        <v>1</v>
      </c>
      <c r="W9" s="139">
        <v>1</v>
      </c>
      <c r="X9" s="139">
        <v>2</v>
      </c>
      <c r="Y9" s="138">
        <v>1</v>
      </c>
      <c r="Z9" s="138">
        <v>2</v>
      </c>
      <c r="AA9" s="138"/>
      <c r="AB9" s="138"/>
      <c r="AC9" s="138"/>
      <c r="AD9" s="138"/>
      <c r="AE9" s="138"/>
      <c r="AF9" s="138"/>
      <c r="AG9" s="138">
        <v>1</v>
      </c>
      <c r="AH9" s="138"/>
    </row>
    <row r="10" spans="1:34">
      <c r="A10" s="129" t="s">
        <v>622</v>
      </c>
      <c r="B10" s="138">
        <f t="shared" si="0"/>
        <v>32</v>
      </c>
      <c r="C10" s="138">
        <v>46</v>
      </c>
      <c r="D10" s="138">
        <v>2</v>
      </c>
      <c r="E10" s="138">
        <v>3</v>
      </c>
      <c r="F10" s="138">
        <v>1</v>
      </c>
      <c r="G10" s="138">
        <v>1</v>
      </c>
      <c r="H10" s="138">
        <v>1</v>
      </c>
      <c r="I10" s="138">
        <v>2</v>
      </c>
      <c r="J10" s="129"/>
      <c r="K10" s="138">
        <v>2</v>
      </c>
      <c r="L10" s="138">
        <v>2</v>
      </c>
      <c r="M10" s="138">
        <v>1</v>
      </c>
      <c r="N10" s="138">
        <v>6</v>
      </c>
      <c r="O10" s="138">
        <v>16</v>
      </c>
      <c r="P10" s="129"/>
      <c r="Q10" s="138"/>
      <c r="R10" s="129">
        <v>16</v>
      </c>
      <c r="S10" s="129">
        <v>6</v>
      </c>
      <c r="T10" s="138">
        <v>11</v>
      </c>
      <c r="U10" s="139">
        <v>5</v>
      </c>
      <c r="V10" s="139">
        <v>8</v>
      </c>
      <c r="W10" s="139"/>
      <c r="X10" s="139">
        <v>1</v>
      </c>
      <c r="Y10" s="138">
        <v>2</v>
      </c>
      <c r="Z10" s="138">
        <v>2</v>
      </c>
      <c r="AA10" s="138"/>
      <c r="AB10" s="138">
        <v>1</v>
      </c>
      <c r="AC10" s="138">
        <v>1</v>
      </c>
      <c r="AD10" s="138">
        <v>1</v>
      </c>
      <c r="AE10" s="138"/>
      <c r="AF10" s="138">
        <v>1</v>
      </c>
      <c r="AG10" s="138">
        <v>3</v>
      </c>
      <c r="AH10" s="138">
        <v>8</v>
      </c>
    </row>
    <row r="11" spans="1:34">
      <c r="A11" s="129" t="s">
        <v>623</v>
      </c>
      <c r="B11" s="138">
        <f t="shared" si="0"/>
        <v>5</v>
      </c>
      <c r="C11" s="138">
        <v>5</v>
      </c>
      <c r="D11" s="138"/>
      <c r="E11" s="138">
        <v>1</v>
      </c>
      <c r="F11" s="138"/>
      <c r="G11" s="138"/>
      <c r="H11" s="138"/>
      <c r="I11" s="138"/>
      <c r="J11" s="129"/>
      <c r="K11" s="138"/>
      <c r="L11" s="138"/>
      <c r="M11" s="138"/>
      <c r="N11" s="138"/>
      <c r="O11" s="138"/>
      <c r="P11" s="129"/>
      <c r="Q11" s="138"/>
      <c r="R11" s="129">
        <v>4</v>
      </c>
      <c r="S11" s="129">
        <v>6</v>
      </c>
      <c r="T11" s="138">
        <v>4</v>
      </c>
      <c r="U11" s="139">
        <v>2</v>
      </c>
      <c r="V11" s="139">
        <v>1</v>
      </c>
      <c r="W11" s="139">
        <v>3</v>
      </c>
      <c r="X11" s="139">
        <v>2</v>
      </c>
      <c r="Y11" s="138"/>
      <c r="Z11" s="138"/>
      <c r="AA11" s="138"/>
      <c r="AB11" s="138"/>
      <c r="AC11" s="138"/>
      <c r="AD11" s="138"/>
      <c r="AE11" s="138"/>
      <c r="AF11" s="138"/>
      <c r="AG11" s="138">
        <v>1</v>
      </c>
      <c r="AH11" s="138">
        <v>1</v>
      </c>
    </row>
    <row r="12" spans="1:34">
      <c r="A12" s="129" t="s">
        <v>624</v>
      </c>
      <c r="B12" s="138">
        <f t="shared" si="0"/>
        <v>62</v>
      </c>
      <c r="C12" s="138">
        <v>76</v>
      </c>
      <c r="D12" s="138">
        <v>4</v>
      </c>
      <c r="E12" s="138">
        <v>5</v>
      </c>
      <c r="F12" s="138">
        <v>1</v>
      </c>
      <c r="G12" s="138"/>
      <c r="H12" s="138">
        <v>1</v>
      </c>
      <c r="I12" s="138">
        <v>1</v>
      </c>
      <c r="J12" s="138">
        <v>3</v>
      </c>
      <c r="K12" s="138"/>
      <c r="L12" s="138">
        <v>8</v>
      </c>
      <c r="M12" s="138">
        <v>6</v>
      </c>
      <c r="N12" s="138">
        <v>14</v>
      </c>
      <c r="O12" s="138">
        <v>42</v>
      </c>
      <c r="P12" s="138">
        <v>2</v>
      </c>
      <c r="Q12" s="138"/>
      <c r="R12" s="129">
        <v>18</v>
      </c>
      <c r="S12" s="129">
        <v>10</v>
      </c>
      <c r="T12" s="138">
        <v>9</v>
      </c>
      <c r="U12" s="139">
        <v>7</v>
      </c>
      <c r="V12" s="139">
        <v>6</v>
      </c>
      <c r="W12" s="139"/>
      <c r="X12" s="139"/>
      <c r="Y12" s="138">
        <v>5</v>
      </c>
      <c r="Z12" s="138">
        <v>3</v>
      </c>
      <c r="AA12" s="138">
        <v>4</v>
      </c>
      <c r="AB12" s="138">
        <v>3</v>
      </c>
      <c r="AC12" s="138">
        <v>1</v>
      </c>
      <c r="AD12" s="138">
        <v>4</v>
      </c>
      <c r="AE12" s="138">
        <v>1</v>
      </c>
      <c r="AF12" s="138">
        <v>1</v>
      </c>
      <c r="AG12" s="138">
        <v>4</v>
      </c>
      <c r="AH12" s="138">
        <v>7</v>
      </c>
    </row>
    <row r="13" spans="1:34">
      <c r="A13" s="129" t="s">
        <v>625</v>
      </c>
      <c r="B13" s="138">
        <f t="shared" si="0"/>
        <v>29</v>
      </c>
      <c r="C13" s="138">
        <v>45</v>
      </c>
      <c r="D13" s="138">
        <v>2</v>
      </c>
      <c r="E13" s="138">
        <v>4</v>
      </c>
      <c r="F13" s="138"/>
      <c r="G13" s="138"/>
      <c r="H13" s="138"/>
      <c r="I13" s="138">
        <v>1</v>
      </c>
      <c r="J13" s="138">
        <v>1</v>
      </c>
      <c r="K13" s="138"/>
      <c r="L13" s="138">
        <v>1</v>
      </c>
      <c r="M13" s="138">
        <v>3</v>
      </c>
      <c r="N13" s="138">
        <v>5</v>
      </c>
      <c r="O13" s="138">
        <v>19</v>
      </c>
      <c r="P13" s="138"/>
      <c r="Q13" s="138"/>
      <c r="R13" s="129">
        <v>12</v>
      </c>
      <c r="S13" s="129">
        <v>4</v>
      </c>
      <c r="T13" s="138">
        <v>12</v>
      </c>
      <c r="U13" s="139">
        <v>3</v>
      </c>
      <c r="V13" s="139">
        <v>12</v>
      </c>
      <c r="W13" s="139"/>
      <c r="X13" s="139"/>
      <c r="Y13" s="138">
        <v>4</v>
      </c>
      <c r="Z13" s="138">
        <v>2</v>
      </c>
      <c r="AA13" s="138">
        <v>1</v>
      </c>
      <c r="AB13" s="138">
        <v>1</v>
      </c>
      <c r="AC13" s="138">
        <v>2</v>
      </c>
      <c r="AD13" s="138">
        <v>2</v>
      </c>
      <c r="AE13" s="138"/>
      <c r="AF13" s="138"/>
      <c r="AG13" s="138">
        <v>3</v>
      </c>
      <c r="AH13" s="138">
        <v>5</v>
      </c>
    </row>
    <row r="14" spans="1:34">
      <c r="A14" s="129" t="s">
        <v>626</v>
      </c>
      <c r="B14" s="138">
        <f t="shared" si="0"/>
        <v>5</v>
      </c>
      <c r="C14" s="138">
        <v>7</v>
      </c>
      <c r="D14" s="138">
        <v>1</v>
      </c>
      <c r="E14" s="138"/>
      <c r="F14" s="138"/>
      <c r="G14" s="138"/>
      <c r="H14" s="138"/>
      <c r="I14" s="138">
        <v>1</v>
      </c>
      <c r="J14" s="138"/>
      <c r="K14" s="138"/>
      <c r="L14" s="138"/>
      <c r="M14" s="138"/>
      <c r="N14" s="138">
        <v>3</v>
      </c>
      <c r="O14" s="138">
        <v>2</v>
      </c>
      <c r="P14" s="138"/>
      <c r="Q14" s="138"/>
      <c r="R14" s="129">
        <v>1</v>
      </c>
      <c r="S14" s="129">
        <v>2</v>
      </c>
      <c r="T14" s="138">
        <v>3</v>
      </c>
      <c r="U14" s="139">
        <v>1</v>
      </c>
      <c r="V14" s="139">
        <v>2</v>
      </c>
      <c r="W14" s="139">
        <v>1</v>
      </c>
      <c r="X14" s="139">
        <v>1</v>
      </c>
      <c r="Y14" s="138"/>
      <c r="Z14" s="138"/>
      <c r="AA14" s="138"/>
      <c r="AB14" s="138"/>
      <c r="AC14" s="138"/>
      <c r="AD14" s="138"/>
      <c r="AE14" s="138"/>
      <c r="AF14" s="138"/>
      <c r="AG14" s="138">
        <v>1</v>
      </c>
      <c r="AH14" s="138">
        <v>1</v>
      </c>
    </row>
    <row r="15" spans="1:34">
      <c r="A15" s="129" t="s">
        <v>627</v>
      </c>
      <c r="B15" s="138">
        <f t="shared" si="0"/>
        <v>28</v>
      </c>
      <c r="C15" s="138">
        <v>30</v>
      </c>
      <c r="D15" s="138">
        <v>2</v>
      </c>
      <c r="E15" s="138">
        <v>1</v>
      </c>
      <c r="F15" s="138"/>
      <c r="G15" s="138">
        <v>1</v>
      </c>
      <c r="H15" s="138"/>
      <c r="I15" s="138"/>
      <c r="J15" s="138">
        <v>1</v>
      </c>
      <c r="K15" s="138">
        <v>2</v>
      </c>
      <c r="L15" s="138">
        <v>5</v>
      </c>
      <c r="M15" s="138">
        <v>4</v>
      </c>
      <c r="N15" s="138">
        <v>9</v>
      </c>
      <c r="O15" s="138">
        <v>10</v>
      </c>
      <c r="P15" s="138">
        <v>1</v>
      </c>
      <c r="Q15" s="138">
        <v>1</v>
      </c>
      <c r="R15" s="129">
        <v>9</v>
      </c>
      <c r="S15" s="129">
        <v>5</v>
      </c>
      <c r="T15" s="138">
        <v>6</v>
      </c>
      <c r="U15" s="139">
        <v>4</v>
      </c>
      <c r="V15" s="139">
        <v>6</v>
      </c>
      <c r="W15" s="139">
        <v>1</v>
      </c>
      <c r="X15" s="139"/>
      <c r="Y15" s="138">
        <v>2</v>
      </c>
      <c r="Z15" s="138">
        <v>2</v>
      </c>
      <c r="AA15" s="138">
        <v>1</v>
      </c>
      <c r="AB15" s="138">
        <v>2</v>
      </c>
      <c r="AC15" s="138"/>
      <c r="AD15" s="138"/>
      <c r="AE15" s="138"/>
      <c r="AF15" s="138"/>
      <c r="AG15" s="138">
        <v>0</v>
      </c>
      <c r="AH15" s="138">
        <v>2</v>
      </c>
    </row>
    <row r="16" spans="1:34">
      <c r="A16" s="129" t="s">
        <v>628</v>
      </c>
      <c r="B16" s="138">
        <f t="shared" si="0"/>
        <v>53</v>
      </c>
      <c r="C16" s="138">
        <v>58</v>
      </c>
      <c r="D16" s="138">
        <v>4</v>
      </c>
      <c r="E16" s="138">
        <v>12</v>
      </c>
      <c r="F16" s="138">
        <v>2</v>
      </c>
      <c r="G16" s="138">
        <v>1</v>
      </c>
      <c r="H16" s="138"/>
      <c r="I16" s="138">
        <v>2</v>
      </c>
      <c r="J16" s="138">
        <v>4</v>
      </c>
      <c r="K16" s="138">
        <v>1</v>
      </c>
      <c r="L16" s="138">
        <v>4</v>
      </c>
      <c r="M16" s="138">
        <v>4</v>
      </c>
      <c r="N16" s="138">
        <v>13</v>
      </c>
      <c r="O16" s="138">
        <v>25</v>
      </c>
      <c r="P16" s="138"/>
      <c r="Q16" s="138">
        <v>2</v>
      </c>
      <c r="R16" s="129">
        <v>20</v>
      </c>
      <c r="S16" s="129">
        <v>15</v>
      </c>
      <c r="T16" s="138">
        <v>18</v>
      </c>
      <c r="U16" s="139">
        <v>11</v>
      </c>
      <c r="V16" s="139">
        <v>14</v>
      </c>
      <c r="W16" s="139">
        <v>3</v>
      </c>
      <c r="X16" s="139">
        <v>1</v>
      </c>
      <c r="Y16" s="138">
        <v>3</v>
      </c>
      <c r="Z16" s="138"/>
      <c r="AA16" s="138">
        <v>1</v>
      </c>
      <c r="AB16" s="138">
        <v>2</v>
      </c>
      <c r="AC16" s="138">
        <v>1</v>
      </c>
      <c r="AD16" s="138"/>
      <c r="AE16" s="138"/>
      <c r="AF16" s="138"/>
      <c r="AG16" s="138">
        <v>5</v>
      </c>
      <c r="AH16" s="138">
        <v>3</v>
      </c>
    </row>
    <row r="17" spans="1:34">
      <c r="A17" s="129" t="s">
        <v>629</v>
      </c>
      <c r="B17" s="138">
        <f t="shared" si="0"/>
        <v>284</v>
      </c>
      <c r="C17" s="138">
        <v>342</v>
      </c>
      <c r="D17" s="138">
        <f>SUM(D7:D16)</f>
        <v>21</v>
      </c>
      <c r="E17" s="138">
        <v>31</v>
      </c>
      <c r="F17" s="138">
        <f>SUM(F7:F16)</f>
        <v>4</v>
      </c>
      <c r="G17" s="138">
        <v>4</v>
      </c>
      <c r="H17" s="138">
        <f>SUM(H7:H16)</f>
        <v>6</v>
      </c>
      <c r="I17" s="138">
        <v>8</v>
      </c>
      <c r="J17" s="138">
        <f>SUM(J7:J16)</f>
        <v>9</v>
      </c>
      <c r="K17" s="138">
        <v>6</v>
      </c>
      <c r="L17" s="138">
        <f>SUM(L7:L16)</f>
        <v>23</v>
      </c>
      <c r="M17" s="138">
        <v>24</v>
      </c>
      <c r="N17" s="138">
        <f>SUM(N7:N16)</f>
        <v>75</v>
      </c>
      <c r="O17" s="138">
        <v>143</v>
      </c>
      <c r="P17" s="138">
        <f>SUM(P7:P16)</f>
        <v>3</v>
      </c>
      <c r="Q17" s="138">
        <v>3</v>
      </c>
      <c r="R17" s="129">
        <f>SUM(R7:R16)</f>
        <v>101</v>
      </c>
      <c r="S17" s="129">
        <v>66</v>
      </c>
      <c r="T17" s="138">
        <v>80</v>
      </c>
      <c r="U17" s="139">
        <f>SUM(U7:U16)</f>
        <v>42</v>
      </c>
      <c r="V17" s="139">
        <v>60</v>
      </c>
      <c r="W17" s="139">
        <f>SUM(W7:W16)</f>
        <v>13</v>
      </c>
      <c r="X17" s="139">
        <v>10</v>
      </c>
      <c r="Y17" s="138">
        <f>SUM(Y7:Y16)</f>
        <v>25</v>
      </c>
      <c r="Z17" s="138">
        <v>19</v>
      </c>
      <c r="AA17" s="138">
        <f>SUM(AA7:AA16)</f>
        <v>8</v>
      </c>
      <c r="AB17" s="138">
        <v>9</v>
      </c>
      <c r="AC17" s="138">
        <f>SUM(AC7:AC16)</f>
        <v>5</v>
      </c>
      <c r="AD17" s="138">
        <v>7</v>
      </c>
      <c r="AE17" s="138">
        <v>1</v>
      </c>
      <c r="AF17" s="138">
        <v>2</v>
      </c>
      <c r="AG17" s="138">
        <f>SUM(AG7:AG16)</f>
        <v>24</v>
      </c>
      <c r="AH17" s="138">
        <v>37</v>
      </c>
    </row>
    <row r="18" spans="1:34">
      <c r="A18" s="129" t="s">
        <v>630</v>
      </c>
      <c r="B18" s="138">
        <f t="shared" si="0"/>
        <v>11</v>
      </c>
      <c r="C18" s="138">
        <v>20</v>
      </c>
      <c r="D18" s="138">
        <v>1</v>
      </c>
      <c r="E18" s="138"/>
      <c r="F18" s="138"/>
      <c r="G18" s="138"/>
      <c r="H18" s="138">
        <v>1</v>
      </c>
      <c r="I18" s="138"/>
      <c r="J18" s="138"/>
      <c r="K18" s="138"/>
      <c r="L18" s="138">
        <v>1</v>
      </c>
      <c r="M18" s="138"/>
      <c r="N18" s="138">
        <v>3</v>
      </c>
      <c r="O18" s="138">
        <v>5</v>
      </c>
      <c r="P18" s="138"/>
      <c r="Q18" s="138"/>
      <c r="R18" s="129">
        <v>2</v>
      </c>
      <c r="S18" s="129">
        <v>6</v>
      </c>
      <c r="T18" s="138">
        <v>9</v>
      </c>
      <c r="U18" s="139"/>
      <c r="V18" s="139">
        <v>2</v>
      </c>
      <c r="W18" s="139">
        <v>4</v>
      </c>
      <c r="X18" s="139">
        <v>7</v>
      </c>
      <c r="Y18" s="138">
        <v>3</v>
      </c>
      <c r="Z18" s="138"/>
      <c r="AA18" s="138"/>
      <c r="AB18" s="138"/>
      <c r="AC18" s="138"/>
      <c r="AD18" s="138"/>
      <c r="AE18" s="138"/>
      <c r="AF18" s="138"/>
      <c r="AG18" s="138">
        <v>1</v>
      </c>
      <c r="AH18" s="138">
        <v>6</v>
      </c>
    </row>
    <row r="19" spans="1:34">
      <c r="A19" s="129" t="s">
        <v>631</v>
      </c>
      <c r="B19" s="138">
        <f t="shared" si="0"/>
        <v>12</v>
      </c>
      <c r="C19" s="138">
        <v>12</v>
      </c>
      <c r="D19" s="138">
        <v>4</v>
      </c>
      <c r="E19" s="138">
        <v>2</v>
      </c>
      <c r="F19" s="138"/>
      <c r="G19" s="138"/>
      <c r="H19" s="138">
        <v>1</v>
      </c>
      <c r="I19" s="138"/>
      <c r="J19" s="138"/>
      <c r="K19" s="138"/>
      <c r="L19" s="138"/>
      <c r="M19" s="138">
        <v>1</v>
      </c>
      <c r="N19" s="138">
        <v>4</v>
      </c>
      <c r="O19" s="138">
        <v>1</v>
      </c>
      <c r="P19" s="138"/>
      <c r="Q19" s="138"/>
      <c r="R19" s="129">
        <v>5</v>
      </c>
      <c r="S19" s="129">
        <v>9</v>
      </c>
      <c r="T19" s="138">
        <v>5</v>
      </c>
      <c r="U19" s="139"/>
      <c r="V19" s="139"/>
      <c r="W19" s="139">
        <v>8</v>
      </c>
      <c r="X19" s="139">
        <v>5</v>
      </c>
      <c r="Y19" s="138">
        <v>1</v>
      </c>
      <c r="Z19" s="138"/>
      <c r="AA19" s="138"/>
      <c r="AB19" s="138">
        <v>1</v>
      </c>
      <c r="AC19" s="138"/>
      <c r="AD19" s="138"/>
      <c r="AE19" s="138"/>
      <c r="AF19" s="138"/>
      <c r="AG19" s="138">
        <v>1</v>
      </c>
      <c r="AH19" s="138">
        <v>4</v>
      </c>
    </row>
    <row r="20" spans="1:34">
      <c r="A20" s="129" t="s">
        <v>592</v>
      </c>
      <c r="B20" s="138">
        <f t="shared" si="0"/>
        <v>13</v>
      </c>
      <c r="C20" s="138">
        <v>18</v>
      </c>
      <c r="D20" s="138">
        <v>1</v>
      </c>
      <c r="E20" s="138"/>
      <c r="F20" s="138"/>
      <c r="G20" s="138"/>
      <c r="H20" s="138"/>
      <c r="I20" s="138"/>
      <c r="J20" s="138"/>
      <c r="K20" s="138"/>
      <c r="L20" s="138">
        <v>2</v>
      </c>
      <c r="M20" s="138">
        <v>1</v>
      </c>
      <c r="N20" s="138">
        <v>2</v>
      </c>
      <c r="O20" s="138">
        <v>2</v>
      </c>
      <c r="P20" s="138">
        <v>1</v>
      </c>
      <c r="Q20" s="138"/>
      <c r="R20" s="129">
        <v>5</v>
      </c>
      <c r="S20" s="129">
        <v>6</v>
      </c>
      <c r="T20" s="138">
        <v>6</v>
      </c>
      <c r="U20" s="139"/>
      <c r="V20" s="139"/>
      <c r="W20" s="139">
        <v>5</v>
      </c>
      <c r="X20" s="139">
        <v>6</v>
      </c>
      <c r="Y20" s="138"/>
      <c r="Z20" s="138">
        <v>1</v>
      </c>
      <c r="AA20" s="138">
        <v>1</v>
      </c>
      <c r="AB20" s="138"/>
      <c r="AC20" s="138"/>
      <c r="AD20" s="138"/>
      <c r="AE20" s="138"/>
      <c r="AF20" s="138"/>
      <c r="AG20" s="138">
        <v>2</v>
      </c>
      <c r="AH20" s="138">
        <v>8</v>
      </c>
    </row>
    <row r="21" spans="1:34">
      <c r="A21" s="129" t="s">
        <v>598</v>
      </c>
      <c r="B21" s="138">
        <f t="shared" si="0"/>
        <v>6</v>
      </c>
      <c r="C21" s="138">
        <v>9</v>
      </c>
      <c r="D21" s="138"/>
      <c r="E21" s="138"/>
      <c r="F21" s="138"/>
      <c r="G21" s="138"/>
      <c r="H21" s="138"/>
      <c r="I21" s="138"/>
      <c r="J21" s="138"/>
      <c r="K21" s="138"/>
      <c r="L21" s="138">
        <v>1</v>
      </c>
      <c r="M21" s="138">
        <v>3</v>
      </c>
      <c r="N21" s="138">
        <v>1</v>
      </c>
      <c r="O21" s="138"/>
      <c r="P21" s="138"/>
      <c r="Q21" s="138"/>
      <c r="R21" s="129">
        <v>2</v>
      </c>
      <c r="S21" s="129">
        <v>1</v>
      </c>
      <c r="T21" s="138">
        <v>5</v>
      </c>
      <c r="U21" s="139"/>
      <c r="V21" s="139">
        <v>1</v>
      </c>
      <c r="W21" s="139">
        <v>1</v>
      </c>
      <c r="X21" s="139">
        <v>4</v>
      </c>
      <c r="Y21" s="138">
        <v>1</v>
      </c>
      <c r="Z21" s="138">
        <v>1</v>
      </c>
      <c r="AA21" s="138">
        <v>1</v>
      </c>
      <c r="AB21" s="138"/>
      <c r="AC21" s="138"/>
      <c r="AD21" s="138"/>
      <c r="AE21" s="138"/>
      <c r="AF21" s="138"/>
      <c r="AG21" s="138"/>
      <c r="AH21" s="138"/>
    </row>
    <row r="22" spans="1:34">
      <c r="A22" s="129" t="s">
        <v>591</v>
      </c>
      <c r="B22" s="138">
        <f t="shared" si="0"/>
        <v>7</v>
      </c>
      <c r="C22" s="138">
        <v>9</v>
      </c>
      <c r="D22" s="138">
        <v>1</v>
      </c>
      <c r="E22" s="138">
        <v>1</v>
      </c>
      <c r="F22" s="138"/>
      <c r="G22" s="138"/>
      <c r="H22" s="138"/>
      <c r="I22" s="138"/>
      <c r="J22" s="138"/>
      <c r="K22" s="138"/>
      <c r="L22" s="138">
        <v>2</v>
      </c>
      <c r="M22" s="138"/>
      <c r="N22" s="138"/>
      <c r="O22" s="138"/>
      <c r="P22" s="138"/>
      <c r="Q22" s="138"/>
      <c r="R22" s="129">
        <v>5</v>
      </c>
      <c r="S22" s="129">
        <v>3</v>
      </c>
      <c r="T22" s="138">
        <v>5</v>
      </c>
      <c r="U22" s="139"/>
      <c r="V22" s="139"/>
      <c r="W22" s="139">
        <v>3</v>
      </c>
      <c r="X22" s="139">
        <v>5</v>
      </c>
      <c r="Y22" s="138"/>
      <c r="Z22" s="138">
        <v>1</v>
      </c>
      <c r="AA22" s="138"/>
      <c r="AB22" s="138"/>
      <c r="AC22" s="138"/>
      <c r="AD22" s="138"/>
      <c r="AE22" s="138"/>
      <c r="AF22" s="138"/>
      <c r="AG22" s="138"/>
      <c r="AH22" s="138">
        <v>3</v>
      </c>
    </row>
    <row r="23" spans="1:34">
      <c r="A23" s="129" t="s">
        <v>597</v>
      </c>
      <c r="B23" s="138">
        <f t="shared" si="0"/>
        <v>13</v>
      </c>
      <c r="C23" s="138">
        <v>22</v>
      </c>
      <c r="D23" s="138">
        <v>3</v>
      </c>
      <c r="E23" s="138">
        <v>1</v>
      </c>
      <c r="F23" s="138"/>
      <c r="G23" s="138"/>
      <c r="H23" s="138"/>
      <c r="I23" s="138"/>
      <c r="J23" s="138"/>
      <c r="K23" s="138"/>
      <c r="L23" s="138"/>
      <c r="M23" s="138"/>
      <c r="N23" s="138">
        <v>3</v>
      </c>
      <c r="O23" s="138">
        <v>2</v>
      </c>
      <c r="P23" s="138"/>
      <c r="Q23" s="138"/>
      <c r="R23" s="129">
        <v>6</v>
      </c>
      <c r="S23" s="129">
        <v>7</v>
      </c>
      <c r="T23" s="138">
        <v>13</v>
      </c>
      <c r="U23" s="139">
        <v>1</v>
      </c>
      <c r="V23" s="139">
        <v>3</v>
      </c>
      <c r="W23" s="139">
        <v>6</v>
      </c>
      <c r="X23" s="139">
        <v>8</v>
      </c>
      <c r="Y23" s="138">
        <v>2</v>
      </c>
      <c r="Z23" s="138"/>
      <c r="AA23" s="138"/>
      <c r="AB23" s="138"/>
      <c r="AC23" s="138"/>
      <c r="AD23" s="138">
        <v>1</v>
      </c>
      <c r="AE23" s="138"/>
      <c r="AF23" s="138"/>
      <c r="AG23" s="138">
        <v>2</v>
      </c>
      <c r="AH23" s="138">
        <v>5</v>
      </c>
    </row>
    <row r="24" spans="1:34">
      <c r="A24" s="129" t="s">
        <v>594</v>
      </c>
      <c r="B24" s="138">
        <f t="shared" si="0"/>
        <v>23</v>
      </c>
      <c r="C24" s="138">
        <v>22</v>
      </c>
      <c r="D24" s="138">
        <v>3</v>
      </c>
      <c r="E24" s="138">
        <v>4</v>
      </c>
      <c r="F24" s="138">
        <v>1</v>
      </c>
      <c r="G24" s="138"/>
      <c r="H24" s="138"/>
      <c r="I24" s="138"/>
      <c r="J24" s="138"/>
      <c r="K24" s="138"/>
      <c r="L24" s="138"/>
      <c r="M24" s="138">
        <v>1</v>
      </c>
      <c r="N24" s="138">
        <v>1</v>
      </c>
      <c r="O24" s="138"/>
      <c r="P24" s="138"/>
      <c r="Q24" s="138"/>
      <c r="R24" s="129">
        <v>15</v>
      </c>
      <c r="S24" s="129">
        <v>9</v>
      </c>
      <c r="T24" s="138">
        <v>18</v>
      </c>
      <c r="U24" s="139">
        <v>1</v>
      </c>
      <c r="V24" s="139">
        <v>2</v>
      </c>
      <c r="W24" s="139">
        <v>8</v>
      </c>
      <c r="X24" s="139">
        <v>13</v>
      </c>
      <c r="Y24" s="138">
        <v>4</v>
      </c>
      <c r="Z24" s="138">
        <v>1</v>
      </c>
      <c r="AA24" s="138"/>
      <c r="AB24" s="138"/>
      <c r="AC24" s="138"/>
      <c r="AD24" s="138"/>
      <c r="AE24" s="138"/>
      <c r="AF24" s="138"/>
      <c r="AG24" s="138">
        <v>2</v>
      </c>
      <c r="AH24" s="138">
        <v>1</v>
      </c>
    </row>
    <row r="25" spans="1:34">
      <c r="A25" s="129" t="s">
        <v>632</v>
      </c>
      <c r="B25" s="138">
        <f t="shared" si="0"/>
        <v>16</v>
      </c>
      <c r="C25" s="138">
        <v>11</v>
      </c>
      <c r="D25" s="138">
        <v>1</v>
      </c>
      <c r="E25" s="138">
        <v>1</v>
      </c>
      <c r="F25" s="138"/>
      <c r="G25" s="138"/>
      <c r="H25" s="138"/>
      <c r="I25" s="138"/>
      <c r="J25" s="138"/>
      <c r="K25" s="138"/>
      <c r="L25" s="138">
        <v>1</v>
      </c>
      <c r="M25" s="138"/>
      <c r="N25" s="138">
        <v>2</v>
      </c>
      <c r="O25" s="138">
        <v>3</v>
      </c>
      <c r="P25" s="138"/>
      <c r="Q25" s="138"/>
      <c r="R25" s="129">
        <v>11</v>
      </c>
      <c r="S25" s="129">
        <v>7</v>
      </c>
      <c r="T25" s="138">
        <v>7</v>
      </c>
      <c r="U25" s="139"/>
      <c r="V25" s="139"/>
      <c r="W25" s="139">
        <v>6</v>
      </c>
      <c r="X25" s="139">
        <v>7</v>
      </c>
      <c r="Y25" s="138">
        <v>1</v>
      </c>
      <c r="Z25" s="138">
        <v>1</v>
      </c>
      <c r="AA25" s="138"/>
      <c r="AB25" s="138"/>
      <c r="AC25" s="138"/>
      <c r="AD25" s="138"/>
      <c r="AE25" s="138"/>
      <c r="AF25" s="138"/>
      <c r="AG25" s="138">
        <v>1</v>
      </c>
      <c r="AH25" s="138"/>
    </row>
    <row r="26" spans="1:34">
      <c r="A26" s="129" t="s">
        <v>589</v>
      </c>
      <c r="B26" s="138">
        <f t="shared" si="0"/>
        <v>20</v>
      </c>
      <c r="C26" s="138">
        <v>34</v>
      </c>
      <c r="D26" s="138">
        <v>5</v>
      </c>
      <c r="E26" s="138">
        <v>12</v>
      </c>
      <c r="F26" s="138"/>
      <c r="G26" s="138"/>
      <c r="H26" s="138"/>
      <c r="I26" s="138">
        <v>1</v>
      </c>
      <c r="J26" s="138"/>
      <c r="K26" s="138"/>
      <c r="L26" s="138"/>
      <c r="M26" s="138"/>
      <c r="N26" s="138">
        <v>5</v>
      </c>
      <c r="O26" s="138">
        <v>3</v>
      </c>
      <c r="P26" s="138">
        <v>1</v>
      </c>
      <c r="Q26" s="138">
        <v>1</v>
      </c>
      <c r="R26" s="129">
        <v>10</v>
      </c>
      <c r="S26" s="129">
        <v>19</v>
      </c>
      <c r="T26" s="138">
        <v>24</v>
      </c>
      <c r="U26" s="139"/>
      <c r="V26" s="139">
        <v>2</v>
      </c>
      <c r="W26" s="139">
        <v>18</v>
      </c>
      <c r="X26" s="139">
        <v>20</v>
      </c>
      <c r="Y26" s="138">
        <v>1</v>
      </c>
      <c r="Z26" s="138"/>
      <c r="AA26" s="138"/>
      <c r="AB26" s="138"/>
      <c r="AC26" s="138"/>
      <c r="AD26" s="138"/>
      <c r="AE26" s="138"/>
      <c r="AF26" s="138"/>
      <c r="AG26" s="138">
        <v>3</v>
      </c>
      <c r="AH26" s="138">
        <v>5</v>
      </c>
    </row>
    <row r="27" spans="1:34">
      <c r="A27" s="129" t="s">
        <v>590</v>
      </c>
      <c r="B27" s="138">
        <f t="shared" si="0"/>
        <v>9</v>
      </c>
      <c r="C27" s="138">
        <v>20</v>
      </c>
      <c r="D27" s="138"/>
      <c r="E27" s="138">
        <v>5</v>
      </c>
      <c r="F27" s="138"/>
      <c r="G27" s="138"/>
      <c r="H27" s="138"/>
      <c r="I27" s="138"/>
      <c r="J27" s="138"/>
      <c r="K27" s="138"/>
      <c r="L27" s="138"/>
      <c r="M27" s="138"/>
      <c r="N27" s="138">
        <v>3</v>
      </c>
      <c r="O27" s="138">
        <v>4</v>
      </c>
      <c r="P27" s="138"/>
      <c r="Q27" s="138"/>
      <c r="R27" s="129">
        <v>6</v>
      </c>
      <c r="S27" s="129">
        <v>4</v>
      </c>
      <c r="T27" s="138">
        <v>13</v>
      </c>
      <c r="U27" s="139"/>
      <c r="V27" s="139">
        <v>1</v>
      </c>
      <c r="W27" s="139">
        <v>4</v>
      </c>
      <c r="X27" s="139">
        <v>12</v>
      </c>
      <c r="Y27" s="138"/>
      <c r="Z27" s="138"/>
      <c r="AA27" s="138"/>
      <c r="AB27" s="138"/>
      <c r="AC27" s="138"/>
      <c r="AD27" s="138"/>
      <c r="AE27" s="138"/>
      <c r="AF27" s="138"/>
      <c r="AG27" s="138"/>
      <c r="AH27" s="138">
        <v>3</v>
      </c>
    </row>
    <row r="28" spans="1:34">
      <c r="A28" s="129" t="s">
        <v>596</v>
      </c>
      <c r="B28" s="138">
        <f t="shared" si="0"/>
        <v>5</v>
      </c>
      <c r="C28" s="138">
        <v>15</v>
      </c>
      <c r="D28" s="138">
        <v>1</v>
      </c>
      <c r="E28" s="138">
        <v>1</v>
      </c>
      <c r="F28" s="138"/>
      <c r="G28" s="138"/>
      <c r="H28" s="138"/>
      <c r="I28" s="138"/>
      <c r="J28" s="138"/>
      <c r="K28" s="138"/>
      <c r="L28" s="138"/>
      <c r="M28" s="138"/>
      <c r="N28" s="138"/>
      <c r="O28" s="138">
        <v>1</v>
      </c>
      <c r="P28" s="138"/>
      <c r="Q28" s="138"/>
      <c r="R28" s="129">
        <v>3</v>
      </c>
      <c r="S28" s="129">
        <v>4</v>
      </c>
      <c r="T28" s="138">
        <v>8</v>
      </c>
      <c r="U28" s="139">
        <v>2</v>
      </c>
      <c r="V28" s="139">
        <v>2</v>
      </c>
      <c r="W28" s="139">
        <v>3</v>
      </c>
      <c r="X28" s="139">
        <v>6</v>
      </c>
      <c r="Y28" s="138">
        <v>1</v>
      </c>
      <c r="Z28" s="138">
        <v>1</v>
      </c>
      <c r="AA28" s="138"/>
      <c r="AB28" s="138"/>
      <c r="AC28" s="138"/>
      <c r="AD28" s="138"/>
      <c r="AE28" s="138"/>
      <c r="AF28" s="138"/>
      <c r="AG28" s="138">
        <v>1</v>
      </c>
      <c r="AH28" s="138">
        <v>5</v>
      </c>
    </row>
    <row r="29" spans="1:34">
      <c r="A29" s="131" t="s">
        <v>593</v>
      </c>
      <c r="B29" s="138">
        <f t="shared" si="0"/>
        <v>13</v>
      </c>
      <c r="C29" s="138">
        <v>28</v>
      </c>
      <c r="D29" s="138">
        <v>3</v>
      </c>
      <c r="E29" s="138">
        <v>7</v>
      </c>
      <c r="F29" s="138"/>
      <c r="G29" s="138"/>
      <c r="H29" s="138"/>
      <c r="I29" s="138"/>
      <c r="J29" s="138"/>
      <c r="K29" s="138"/>
      <c r="L29" s="138"/>
      <c r="M29" s="138">
        <v>3</v>
      </c>
      <c r="N29" s="138">
        <v>4</v>
      </c>
      <c r="O29" s="138">
        <v>4</v>
      </c>
      <c r="P29" s="138"/>
      <c r="Q29" s="138"/>
      <c r="R29" s="129">
        <v>8</v>
      </c>
      <c r="S29" s="129">
        <v>5</v>
      </c>
      <c r="T29" s="138">
        <v>16</v>
      </c>
      <c r="U29" s="139">
        <v>1</v>
      </c>
      <c r="V29" s="139">
        <v>1</v>
      </c>
      <c r="W29" s="139">
        <v>1</v>
      </c>
      <c r="X29" s="139">
        <v>3</v>
      </c>
      <c r="Y29" s="138"/>
      <c r="Z29" s="138">
        <v>1</v>
      </c>
      <c r="AA29" s="138"/>
      <c r="AB29" s="138">
        <v>1</v>
      </c>
      <c r="AC29" s="138">
        <v>1</v>
      </c>
      <c r="AD29" s="138">
        <v>1</v>
      </c>
      <c r="AE29" s="138"/>
      <c r="AF29" s="138"/>
      <c r="AG29" s="138"/>
      <c r="AH29" s="138">
        <v>2</v>
      </c>
    </row>
    <row r="30" spans="1:34">
      <c r="A30" s="131" t="s">
        <v>633</v>
      </c>
      <c r="B30" s="138">
        <f t="shared" si="0"/>
        <v>14</v>
      </c>
      <c r="C30" s="138">
        <v>18</v>
      </c>
      <c r="D30" s="138">
        <v>1</v>
      </c>
      <c r="E30" s="138"/>
      <c r="F30" s="138">
        <v>1</v>
      </c>
      <c r="G30" s="138"/>
      <c r="H30" s="138">
        <v>1</v>
      </c>
      <c r="I30" s="138">
        <v>1</v>
      </c>
      <c r="J30" s="138"/>
      <c r="K30" s="138"/>
      <c r="L30" s="138">
        <v>2</v>
      </c>
      <c r="M30" s="138">
        <v>1</v>
      </c>
      <c r="N30" s="138">
        <v>3</v>
      </c>
      <c r="O30" s="138">
        <v>4</v>
      </c>
      <c r="P30" s="138"/>
      <c r="Q30" s="138"/>
      <c r="R30" s="129">
        <v>5</v>
      </c>
      <c r="S30" s="129">
        <v>5</v>
      </c>
      <c r="T30" s="138">
        <v>6</v>
      </c>
      <c r="U30" s="139">
        <v>2</v>
      </c>
      <c r="V30" s="139">
        <v>1</v>
      </c>
      <c r="W30" s="139">
        <v>3</v>
      </c>
      <c r="X30" s="139">
        <v>5</v>
      </c>
      <c r="Y30" s="138"/>
      <c r="Z30" s="138">
        <v>2</v>
      </c>
      <c r="AA30" s="138">
        <v>1</v>
      </c>
      <c r="AB30" s="138">
        <v>1</v>
      </c>
      <c r="AC30" s="138"/>
      <c r="AD30" s="138"/>
      <c r="AE30" s="138"/>
      <c r="AF30" s="138"/>
      <c r="AG30" s="138">
        <v>1</v>
      </c>
      <c r="AH30" s="138">
        <v>3</v>
      </c>
    </row>
    <row r="31" spans="1:34">
      <c r="A31" s="131" t="s">
        <v>634</v>
      </c>
      <c r="B31" s="138">
        <f t="shared" si="0"/>
        <v>446</v>
      </c>
      <c r="C31" s="138">
        <v>578</v>
      </c>
      <c r="D31" s="138">
        <f>SUM(D17:D30)</f>
        <v>45</v>
      </c>
      <c r="E31" s="138">
        <v>65</v>
      </c>
      <c r="F31" s="138">
        <f>SUM(F17:F30)</f>
        <v>6</v>
      </c>
      <c r="G31" s="138">
        <v>4</v>
      </c>
      <c r="H31" s="138">
        <f>SUM(H17:H30)</f>
        <v>9</v>
      </c>
      <c r="I31" s="138">
        <v>10</v>
      </c>
      <c r="J31" s="138">
        <f>SUM(J17:J30)</f>
        <v>9</v>
      </c>
      <c r="K31" s="138">
        <v>6</v>
      </c>
      <c r="L31" s="138">
        <f>SUM(L17:L30)</f>
        <v>32</v>
      </c>
      <c r="M31" s="138">
        <v>34</v>
      </c>
      <c r="N31" s="138">
        <f>SUM(N17:N30)</f>
        <v>106</v>
      </c>
      <c r="O31" s="138">
        <v>172</v>
      </c>
      <c r="P31" s="138">
        <f>SUM(P17:P30)</f>
        <v>5</v>
      </c>
      <c r="Q31" s="138">
        <v>4</v>
      </c>
      <c r="R31" s="129">
        <f>SUM(R17:R30)</f>
        <v>184</v>
      </c>
      <c r="S31" s="129">
        <v>151</v>
      </c>
      <c r="T31" s="138">
        <v>215</v>
      </c>
      <c r="U31" s="139">
        <f>SUM(U17:U30)</f>
        <v>49</v>
      </c>
      <c r="V31" s="139">
        <v>75</v>
      </c>
      <c r="W31" s="139">
        <f>SUM(W17:W30)</f>
        <v>83</v>
      </c>
      <c r="X31" s="139">
        <v>111</v>
      </c>
      <c r="Y31" s="138">
        <f>SUM(Y17:Y30)</f>
        <v>39</v>
      </c>
      <c r="Z31" s="138">
        <v>28</v>
      </c>
      <c r="AA31" s="138">
        <f>SUM(AA17:AA30)</f>
        <v>11</v>
      </c>
      <c r="AB31" s="138">
        <v>12</v>
      </c>
      <c r="AC31" s="138">
        <f>SUM(AC17:AC30)</f>
        <v>6</v>
      </c>
      <c r="AD31" s="138">
        <v>9</v>
      </c>
      <c r="AE31" s="138">
        <v>1</v>
      </c>
      <c r="AF31" s="138">
        <v>2</v>
      </c>
      <c r="AG31" s="138">
        <f>SUM(AG17:AG30)</f>
        <v>38</v>
      </c>
      <c r="AH31" s="138">
        <v>82</v>
      </c>
    </row>
    <row r="32" spans="1:34" ht="12.75" customHeight="1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</row>
    <row r="33" spans="1:34" ht="12" customHeight="1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</row>
    <row r="34" spans="1:34" ht="25.5" customHeight="1">
      <c r="A34" s="1945"/>
      <c r="B34" s="1920" t="s">
        <v>635</v>
      </c>
      <c r="C34" s="1920"/>
      <c r="D34" s="1920"/>
      <c r="E34" s="1920" t="s">
        <v>636</v>
      </c>
      <c r="F34" s="1920"/>
      <c r="G34" s="1920"/>
      <c r="H34" s="1920" t="s">
        <v>637</v>
      </c>
      <c r="I34" s="1920"/>
      <c r="J34" s="1920"/>
      <c r="K34" s="1928" t="s">
        <v>638</v>
      </c>
      <c r="L34" s="1905"/>
      <c r="M34" s="1906"/>
      <c r="N34" s="1920" t="s">
        <v>639</v>
      </c>
      <c r="O34" s="1920"/>
      <c r="P34" s="1920"/>
      <c r="Q34" s="1921" t="s">
        <v>640</v>
      </c>
      <c r="R34" s="1922"/>
      <c r="S34" s="1922"/>
      <c r="T34" s="1923"/>
      <c r="U34" s="1921" t="s">
        <v>641</v>
      </c>
      <c r="V34" s="1929"/>
      <c r="W34" s="1930"/>
      <c r="X34" s="1928" t="s">
        <v>642</v>
      </c>
      <c r="Y34" s="1931"/>
      <c r="Z34" s="1887"/>
      <c r="AA34" s="1933" t="s">
        <v>643</v>
      </c>
      <c r="AB34" s="1934"/>
      <c r="AC34" s="1935"/>
      <c r="AD34" s="1933" t="s">
        <v>644</v>
      </c>
      <c r="AE34" s="1934"/>
      <c r="AF34" s="1935"/>
      <c r="AG34" s="1928" t="s">
        <v>645</v>
      </c>
      <c r="AH34" s="1887"/>
    </row>
    <row r="35" spans="1:34" ht="22.5" customHeight="1">
      <c r="A35" s="1945"/>
      <c r="B35" s="1920"/>
      <c r="C35" s="1920"/>
      <c r="D35" s="1920"/>
      <c r="E35" s="1920"/>
      <c r="F35" s="1920"/>
      <c r="G35" s="1920"/>
      <c r="H35" s="1920"/>
      <c r="I35" s="1920"/>
      <c r="J35" s="1920"/>
      <c r="K35" s="1946"/>
      <c r="L35" s="1947"/>
      <c r="M35" s="1948"/>
      <c r="N35" s="1920"/>
      <c r="O35" s="1920"/>
      <c r="P35" s="1920"/>
      <c r="Q35" s="1884" t="s">
        <v>646</v>
      </c>
      <c r="R35" s="1924"/>
      <c r="S35" s="1885"/>
      <c r="T35" s="129" t="s">
        <v>647</v>
      </c>
      <c r="U35" s="1884" t="s">
        <v>646</v>
      </c>
      <c r="V35" s="1885"/>
      <c r="W35" s="131" t="s">
        <v>647</v>
      </c>
      <c r="X35" s="1890"/>
      <c r="Y35" s="1932"/>
      <c r="Z35" s="1891"/>
      <c r="AA35" s="1936"/>
      <c r="AB35" s="1937"/>
      <c r="AC35" s="1938"/>
      <c r="AD35" s="1936"/>
      <c r="AE35" s="1937"/>
      <c r="AF35" s="1938"/>
      <c r="AG35" s="1890"/>
      <c r="AH35" s="1891"/>
    </row>
    <row r="36" spans="1:34">
      <c r="A36" s="130" t="s">
        <v>648</v>
      </c>
      <c r="B36" s="1925">
        <v>528.29999999999995</v>
      </c>
      <c r="C36" s="1926"/>
      <c r="D36" s="1927"/>
      <c r="E36" s="1925">
        <v>329.8</v>
      </c>
      <c r="F36" s="1926"/>
      <c r="G36" s="1927"/>
      <c r="H36" s="1925">
        <v>20</v>
      </c>
      <c r="I36" s="1926"/>
      <c r="J36" s="1927"/>
      <c r="K36" s="1925">
        <v>154</v>
      </c>
      <c r="L36" s="1926"/>
      <c r="M36" s="1927"/>
      <c r="N36" s="1925">
        <v>12</v>
      </c>
      <c r="O36" s="1926"/>
      <c r="P36" s="1927"/>
      <c r="Q36" s="1925">
        <v>122</v>
      </c>
      <c r="R36" s="1926"/>
      <c r="S36" s="1927"/>
      <c r="T36" s="606">
        <v>141</v>
      </c>
      <c r="U36" s="1925">
        <v>18</v>
      </c>
      <c r="V36" s="1927"/>
      <c r="W36" s="140">
        <v>25</v>
      </c>
      <c r="X36" s="1925">
        <v>434</v>
      </c>
      <c r="Y36" s="1926"/>
      <c r="Z36" s="1927"/>
      <c r="AA36" s="1925">
        <v>77</v>
      </c>
      <c r="AB36" s="1926"/>
      <c r="AC36" s="1927"/>
      <c r="AD36" s="1925">
        <v>69</v>
      </c>
      <c r="AE36" s="1926"/>
      <c r="AF36" s="1927"/>
      <c r="AG36" s="1925">
        <v>63.4</v>
      </c>
      <c r="AH36" s="1927"/>
    </row>
    <row r="37" spans="1:34">
      <c r="A37" s="141" t="s">
        <v>1223</v>
      </c>
      <c r="B37" s="1917">
        <v>903.9</v>
      </c>
      <c r="C37" s="1918"/>
      <c r="D37" s="1919"/>
      <c r="E37" s="1917">
        <v>679.7</v>
      </c>
      <c r="F37" s="1918"/>
      <c r="G37" s="1919"/>
      <c r="H37" s="1917">
        <v>25</v>
      </c>
      <c r="I37" s="1918"/>
      <c r="J37" s="1919"/>
      <c r="K37" s="1917">
        <v>134</v>
      </c>
      <c r="L37" s="1918"/>
      <c r="M37" s="1919"/>
      <c r="N37" s="1917">
        <v>22</v>
      </c>
      <c r="O37" s="1918"/>
      <c r="P37" s="1919"/>
      <c r="Q37" s="1917">
        <v>190</v>
      </c>
      <c r="R37" s="1918"/>
      <c r="S37" s="1919"/>
      <c r="T37" s="607">
        <v>171</v>
      </c>
      <c r="U37" s="1917">
        <v>21</v>
      </c>
      <c r="V37" s="1919"/>
      <c r="W37" s="140">
        <v>25</v>
      </c>
      <c r="X37" s="1917">
        <v>568</v>
      </c>
      <c r="Y37" s="1918"/>
      <c r="Z37" s="1919"/>
      <c r="AA37" s="1917">
        <v>121</v>
      </c>
      <c r="AB37" s="1918"/>
      <c r="AC37" s="1919"/>
      <c r="AD37" s="1917">
        <v>103</v>
      </c>
      <c r="AE37" s="1918"/>
      <c r="AF37" s="1919"/>
      <c r="AG37" s="1917">
        <v>59.5</v>
      </c>
      <c r="AH37" s="1919"/>
    </row>
    <row r="45" spans="1:34">
      <c r="A45" s="1943">
        <v>66</v>
      </c>
      <c r="B45" s="1943"/>
      <c r="C45" s="1943"/>
      <c r="D45" s="1943"/>
      <c r="E45" s="1943"/>
      <c r="F45" s="1943"/>
      <c r="G45" s="1943"/>
      <c r="H45" s="1943"/>
      <c r="I45" s="1943"/>
      <c r="J45" s="1943"/>
      <c r="K45" s="1943"/>
      <c r="L45" s="1943"/>
      <c r="M45" s="1943"/>
      <c r="N45" s="1943"/>
      <c r="O45" s="1943"/>
      <c r="P45" s="1943"/>
      <c r="Q45" s="1943"/>
      <c r="R45" s="1943"/>
      <c r="S45" s="1943"/>
      <c r="T45" s="1943"/>
      <c r="U45" s="1943"/>
      <c r="V45" s="1943"/>
      <c r="W45" s="1943"/>
      <c r="X45" s="1943"/>
      <c r="Y45" s="1943"/>
      <c r="Z45" s="1943"/>
      <c r="AA45" s="1943"/>
      <c r="AB45" s="1943"/>
      <c r="AC45" s="1943"/>
      <c r="AD45" s="1943"/>
      <c r="AE45" s="1943"/>
      <c r="AF45" s="1943"/>
      <c r="AG45" s="1943"/>
      <c r="AH45" s="1943"/>
    </row>
  </sheetData>
  <mergeCells count="58">
    <mergeCell ref="A45:AH45"/>
    <mergeCell ref="A4:A6"/>
    <mergeCell ref="B4:C5"/>
    <mergeCell ref="H4:I5"/>
    <mergeCell ref="J4:K5"/>
    <mergeCell ref="D4:E5"/>
    <mergeCell ref="P4:Q5"/>
    <mergeCell ref="F4:G5"/>
    <mergeCell ref="N4:O5"/>
    <mergeCell ref="AD34:AF35"/>
    <mergeCell ref="A34:A35"/>
    <mergeCell ref="B34:D35"/>
    <mergeCell ref="E34:G35"/>
    <mergeCell ref="H34:J35"/>
    <mergeCell ref="K34:M35"/>
    <mergeCell ref="B36:D36"/>
    <mergeCell ref="B1:AH1"/>
    <mergeCell ref="M2:T2"/>
    <mergeCell ref="AD3:AH3"/>
    <mergeCell ref="L4:M5"/>
    <mergeCell ref="R4:T5"/>
    <mergeCell ref="AG4:AH5"/>
    <mergeCell ref="U5:V5"/>
    <mergeCell ref="W5:X5"/>
    <mergeCell ref="AC4:AD5"/>
    <mergeCell ref="AE4:AF5"/>
    <mergeCell ref="U4:X4"/>
    <mergeCell ref="Y4:Z5"/>
    <mergeCell ref="AA4:AB5"/>
    <mergeCell ref="E36:G36"/>
    <mergeCell ref="H36:J36"/>
    <mergeCell ref="K36:M36"/>
    <mergeCell ref="N36:P36"/>
    <mergeCell ref="AG34:AH35"/>
    <mergeCell ref="U35:V35"/>
    <mergeCell ref="U34:W34"/>
    <mergeCell ref="X34:Z35"/>
    <mergeCell ref="AA34:AC35"/>
    <mergeCell ref="U36:V36"/>
    <mergeCell ref="Q36:S36"/>
    <mergeCell ref="AG37:AH37"/>
    <mergeCell ref="X36:Z36"/>
    <mergeCell ref="AA36:AC36"/>
    <mergeCell ref="AD36:AF36"/>
    <mergeCell ref="AG36:AH36"/>
    <mergeCell ref="AD37:AF37"/>
    <mergeCell ref="X37:Z37"/>
    <mergeCell ref="AA37:AC37"/>
    <mergeCell ref="Q37:S37"/>
    <mergeCell ref="N34:P35"/>
    <mergeCell ref="Q34:T34"/>
    <mergeCell ref="Q35:S35"/>
    <mergeCell ref="U37:V37"/>
    <mergeCell ref="B37:D37"/>
    <mergeCell ref="E37:G37"/>
    <mergeCell ref="H37:J37"/>
    <mergeCell ref="K37:M37"/>
    <mergeCell ref="N37:P37"/>
  </mergeCells>
  <phoneticPr fontId="2" type="noConversion"/>
  <printOptions horizontalCentered="1" verticalCentered="1"/>
  <pageMargins left="0.74803149606299213" right="0.39370078740157483" top="0.39370078740157483" bottom="0.39370078740157483" header="0" footer="0"/>
  <pageSetup paperSize="9" scale="80" orientation="landscape" horizontalDpi="120" verticalDpi="144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H32"/>
  <sheetViews>
    <sheetView workbookViewId="0">
      <selection activeCell="C7" sqref="C7:H30"/>
    </sheetView>
  </sheetViews>
  <sheetFormatPr defaultColWidth="14.28515625" defaultRowHeight="12.75"/>
  <cols>
    <col min="1" max="1" width="24.42578125" customWidth="1"/>
    <col min="2" max="2" width="14.7109375" customWidth="1"/>
  </cols>
  <sheetData>
    <row r="3" spans="1:8">
      <c r="C3" s="99" t="s">
        <v>1397</v>
      </c>
    </row>
    <row r="5" spans="1:8" ht="21" customHeight="1">
      <c r="A5" s="1561" t="s">
        <v>408</v>
      </c>
      <c r="B5" s="1951" t="s">
        <v>1490</v>
      </c>
      <c r="C5" s="1949">
        <v>2010</v>
      </c>
      <c r="D5" s="1950"/>
      <c r="E5" s="1949">
        <v>2011</v>
      </c>
      <c r="F5" s="1950"/>
      <c r="G5" s="1949">
        <v>2012</v>
      </c>
      <c r="H5" s="1950"/>
    </row>
    <row r="6" spans="1:8" ht="62.25" customHeight="1">
      <c r="A6" s="1563"/>
      <c r="B6" s="1952"/>
      <c r="C6" s="500" t="s">
        <v>1491</v>
      </c>
      <c r="D6" s="500" t="s">
        <v>1492</v>
      </c>
      <c r="E6" s="500" t="s">
        <v>1491</v>
      </c>
      <c r="F6" s="500" t="s">
        <v>1492</v>
      </c>
      <c r="G6" s="500" t="s">
        <v>1491</v>
      </c>
      <c r="H6" s="500" t="s">
        <v>1492</v>
      </c>
    </row>
    <row r="7" spans="1:8" ht="17.25" customHeight="1">
      <c r="A7" s="743" t="s">
        <v>1493</v>
      </c>
      <c r="B7" s="90" t="s">
        <v>409</v>
      </c>
      <c r="C7" s="749" t="s">
        <v>1494</v>
      </c>
      <c r="D7" s="97">
        <v>43674.2</v>
      </c>
      <c r="E7" s="750" t="s">
        <v>982</v>
      </c>
      <c r="F7" s="97">
        <v>13316.2</v>
      </c>
      <c r="G7" s="750" t="s">
        <v>982</v>
      </c>
      <c r="H7" s="97">
        <f>SUM(H8:H16)</f>
        <v>7132.2999999999993</v>
      </c>
    </row>
    <row r="8" spans="1:8" ht="17.25" customHeight="1">
      <c r="A8" s="91" t="s">
        <v>1495</v>
      </c>
      <c r="B8" s="90" t="s">
        <v>444</v>
      </c>
      <c r="C8" s="749"/>
      <c r="D8" s="97"/>
      <c r="E8" s="1191">
        <v>3120</v>
      </c>
      <c r="F8" s="97">
        <v>919.7</v>
      </c>
      <c r="G8" s="1191"/>
      <c r="H8" s="97"/>
    </row>
    <row r="9" spans="1:8" ht="17.25" customHeight="1">
      <c r="A9" s="86" t="s">
        <v>1496</v>
      </c>
      <c r="B9" s="90" t="s">
        <v>374</v>
      </c>
      <c r="C9" s="97"/>
      <c r="D9" s="97"/>
      <c r="E9" s="97">
        <v>6.3</v>
      </c>
      <c r="F9" s="97">
        <v>340.5</v>
      </c>
      <c r="G9" s="97">
        <v>6804</v>
      </c>
      <c r="H9" s="97">
        <v>717.9</v>
      </c>
    </row>
    <row r="10" spans="1:8" ht="17.25" customHeight="1">
      <c r="A10" s="745" t="s">
        <v>1497</v>
      </c>
      <c r="B10" s="90" t="s">
        <v>374</v>
      </c>
      <c r="C10" s="97">
        <v>0.2</v>
      </c>
      <c r="D10" s="97">
        <v>22.8</v>
      </c>
      <c r="E10" s="97">
        <v>78.099999999999994</v>
      </c>
      <c r="F10" s="97">
        <v>132.5</v>
      </c>
      <c r="G10" s="97">
        <v>1346.1</v>
      </c>
      <c r="H10" s="97">
        <v>3632.7</v>
      </c>
    </row>
    <row r="11" spans="1:8" ht="17.25" customHeight="1">
      <c r="A11" s="745" t="s">
        <v>1498</v>
      </c>
      <c r="B11" s="90" t="s">
        <v>374</v>
      </c>
      <c r="C11" s="97">
        <v>28.3</v>
      </c>
      <c r="D11" s="97">
        <v>32967.699999999997</v>
      </c>
      <c r="E11" s="97">
        <v>12.7</v>
      </c>
      <c r="F11" s="97">
        <v>11643.6</v>
      </c>
      <c r="G11" s="97">
        <v>2342.4</v>
      </c>
      <c r="H11" s="97">
        <v>2769.6</v>
      </c>
    </row>
    <row r="12" spans="1:8" ht="17.25" customHeight="1">
      <c r="A12" s="745" t="s">
        <v>1499</v>
      </c>
      <c r="B12" s="90" t="s">
        <v>374</v>
      </c>
      <c r="C12" s="97">
        <v>1.8</v>
      </c>
      <c r="D12" s="97">
        <v>3256.4</v>
      </c>
      <c r="E12" s="97">
        <v>1</v>
      </c>
      <c r="F12" s="97">
        <v>110.7</v>
      </c>
      <c r="G12" s="97"/>
      <c r="H12" s="97"/>
    </row>
    <row r="13" spans="1:8" ht="17.25" customHeight="1">
      <c r="A13" s="745" t="s">
        <v>1500</v>
      </c>
      <c r="B13" s="90" t="s">
        <v>374</v>
      </c>
      <c r="C13" s="320">
        <v>0.2</v>
      </c>
      <c r="D13" s="320">
        <v>1293.3</v>
      </c>
      <c r="E13" s="320">
        <v>0.8</v>
      </c>
      <c r="F13" s="320">
        <v>78.5</v>
      </c>
      <c r="G13" s="320"/>
      <c r="H13" s="320"/>
    </row>
    <row r="14" spans="1:8" ht="17.25" customHeight="1">
      <c r="A14" s="296" t="s">
        <v>1501</v>
      </c>
      <c r="B14" s="90" t="s">
        <v>367</v>
      </c>
      <c r="C14" s="320"/>
      <c r="D14" s="320"/>
      <c r="E14" s="320">
        <v>12.4</v>
      </c>
      <c r="F14" s="320">
        <v>11.6</v>
      </c>
      <c r="G14" s="320">
        <v>11</v>
      </c>
      <c r="H14" s="320">
        <v>12.1</v>
      </c>
    </row>
    <row r="15" spans="1:8" ht="17.25" customHeight="1">
      <c r="A15" s="745" t="s">
        <v>1502</v>
      </c>
      <c r="B15" s="90" t="s">
        <v>374</v>
      </c>
      <c r="C15" s="320"/>
      <c r="D15" s="320"/>
      <c r="E15" s="320">
        <v>1.2</v>
      </c>
      <c r="F15" s="320">
        <v>32.5</v>
      </c>
      <c r="G15" s="320"/>
      <c r="H15" s="320"/>
    </row>
    <row r="16" spans="1:8" ht="17.25" customHeight="1">
      <c r="A16" s="728" t="s">
        <v>1503</v>
      </c>
      <c r="B16" s="90" t="s">
        <v>374</v>
      </c>
      <c r="C16" s="97">
        <v>12.4</v>
      </c>
      <c r="D16" s="242">
        <v>4776</v>
      </c>
      <c r="E16" s="97">
        <v>0.6</v>
      </c>
      <c r="F16" s="97">
        <v>46.7</v>
      </c>
      <c r="G16" s="97"/>
      <c r="H16" s="97"/>
    </row>
    <row r="17" spans="1:8" ht="17.25" customHeight="1">
      <c r="A17" s="747" t="s">
        <v>1504</v>
      </c>
      <c r="B17" s="90" t="s">
        <v>1505</v>
      </c>
      <c r="C17" s="537" t="s">
        <v>982</v>
      </c>
      <c r="D17" s="97">
        <v>148137.79999999999</v>
      </c>
      <c r="E17" s="537" t="s">
        <v>982</v>
      </c>
      <c r="F17" s="97">
        <v>26142.400000000001</v>
      </c>
      <c r="G17" s="537"/>
      <c r="H17" s="242">
        <f>SUM(H18:H30)</f>
        <v>156328.29999999999</v>
      </c>
    </row>
    <row r="18" spans="1:8" ht="17.25" customHeight="1">
      <c r="A18" s="745" t="s">
        <v>1506</v>
      </c>
      <c r="B18" s="90" t="s">
        <v>374</v>
      </c>
      <c r="C18" s="320">
        <v>4.5</v>
      </c>
      <c r="D18" s="750">
        <v>4506.7</v>
      </c>
      <c r="E18" s="320">
        <v>5.2</v>
      </c>
      <c r="F18" s="750">
        <v>3622.4</v>
      </c>
      <c r="G18" s="320">
        <v>9638.7000000000007</v>
      </c>
      <c r="H18" s="750">
        <v>11808.2</v>
      </c>
    </row>
    <row r="19" spans="1:8" ht="17.25" customHeight="1">
      <c r="A19" s="745" t="s">
        <v>1507</v>
      </c>
      <c r="B19" s="90" t="s">
        <v>374</v>
      </c>
      <c r="C19" s="320">
        <v>22.1</v>
      </c>
      <c r="D19" s="97">
        <v>20633.3</v>
      </c>
      <c r="E19" s="1224">
        <v>23</v>
      </c>
      <c r="F19" s="97">
        <v>15219.6</v>
      </c>
      <c r="G19" s="1224">
        <v>30106.1</v>
      </c>
      <c r="H19" s="97">
        <v>32862.699999999997</v>
      </c>
    </row>
    <row r="20" spans="1:8" ht="17.25" customHeight="1">
      <c r="A20" s="745" t="s">
        <v>1508</v>
      </c>
      <c r="B20" s="90" t="s">
        <v>1509</v>
      </c>
      <c r="C20" s="320">
        <v>405</v>
      </c>
      <c r="D20" s="97">
        <v>7388.2</v>
      </c>
      <c r="E20" s="320">
        <v>65</v>
      </c>
      <c r="F20" s="242">
        <v>19</v>
      </c>
      <c r="G20" s="320">
        <v>159</v>
      </c>
      <c r="H20" s="242">
        <v>93.9</v>
      </c>
    </row>
    <row r="21" spans="1:8" ht="17.25" customHeight="1">
      <c r="A21" s="745" t="s">
        <v>1510</v>
      </c>
      <c r="B21" s="90" t="s">
        <v>367</v>
      </c>
      <c r="C21" s="320"/>
      <c r="D21" s="97"/>
      <c r="E21" s="320">
        <v>7.5</v>
      </c>
      <c r="F21" s="242">
        <v>2872.5</v>
      </c>
      <c r="G21" s="320"/>
      <c r="H21" s="242"/>
    </row>
    <row r="22" spans="1:8" ht="17.25" customHeight="1">
      <c r="A22" s="745" t="s">
        <v>1511</v>
      </c>
      <c r="B22" s="90" t="s">
        <v>444</v>
      </c>
      <c r="C22" s="320"/>
      <c r="D22" s="97"/>
      <c r="E22" s="320">
        <v>40</v>
      </c>
      <c r="F22" s="242">
        <v>70.900000000000006</v>
      </c>
      <c r="G22" s="320">
        <v>47</v>
      </c>
      <c r="H22" s="242">
        <v>35.9</v>
      </c>
    </row>
    <row r="23" spans="1:8" ht="17.25" customHeight="1">
      <c r="A23" s="745" t="s">
        <v>1512</v>
      </c>
      <c r="B23" s="90" t="s">
        <v>1509</v>
      </c>
      <c r="C23" s="320"/>
      <c r="D23" s="97"/>
      <c r="E23" s="320">
        <v>22</v>
      </c>
      <c r="F23" s="242">
        <v>594.9</v>
      </c>
      <c r="G23" s="320">
        <v>49</v>
      </c>
      <c r="H23" s="242">
        <v>3951</v>
      </c>
    </row>
    <row r="24" spans="1:8" ht="17.25" customHeight="1">
      <c r="A24" s="740" t="s">
        <v>1513</v>
      </c>
      <c r="B24" s="498" t="s">
        <v>1514</v>
      </c>
      <c r="C24" s="320"/>
      <c r="D24" s="97"/>
      <c r="E24" s="320">
        <v>809.9</v>
      </c>
      <c r="F24" s="242">
        <v>93</v>
      </c>
      <c r="G24" s="320"/>
      <c r="H24" s="242"/>
    </row>
    <row r="25" spans="1:8" ht="17.25" customHeight="1">
      <c r="A25" s="740" t="s">
        <v>1515</v>
      </c>
      <c r="B25" s="537" t="s">
        <v>46</v>
      </c>
      <c r="C25" s="320"/>
      <c r="D25" s="97"/>
      <c r="E25" s="320">
        <v>2.2999999999999998</v>
      </c>
      <c r="F25" s="97">
        <v>188.8</v>
      </c>
      <c r="G25" s="320">
        <v>7474.6</v>
      </c>
      <c r="H25" s="97">
        <v>228.9</v>
      </c>
    </row>
    <row r="26" spans="1:8" ht="17.25" customHeight="1">
      <c r="A26" s="745" t="s">
        <v>1516</v>
      </c>
      <c r="B26" s="90" t="s">
        <v>367</v>
      </c>
      <c r="C26" s="320">
        <v>1.7</v>
      </c>
      <c r="D26" s="97">
        <v>453865.34</v>
      </c>
      <c r="E26" s="320">
        <v>16</v>
      </c>
      <c r="F26" s="97">
        <v>1115.2</v>
      </c>
      <c r="G26" s="320">
        <v>12997.1</v>
      </c>
      <c r="H26" s="97">
        <v>864.8</v>
      </c>
    </row>
    <row r="27" spans="1:8" ht="17.25" customHeight="1">
      <c r="A27" s="748" t="s">
        <v>1517</v>
      </c>
      <c r="B27" s="744" t="s">
        <v>1509</v>
      </c>
      <c r="C27" s="97"/>
      <c r="D27" s="97"/>
      <c r="E27" s="320">
        <v>896</v>
      </c>
      <c r="F27" s="1224">
        <v>32.799999999999997</v>
      </c>
      <c r="G27" s="320">
        <v>273</v>
      </c>
      <c r="H27" s="1224">
        <v>38.200000000000003</v>
      </c>
    </row>
    <row r="28" spans="1:8" ht="17.25" customHeight="1">
      <c r="A28" s="748" t="s">
        <v>1518</v>
      </c>
      <c r="B28" s="744" t="s">
        <v>46</v>
      </c>
      <c r="C28" s="97"/>
      <c r="D28" s="97"/>
      <c r="E28" s="320">
        <v>234.9</v>
      </c>
      <c r="F28" s="1224">
        <v>1114.9000000000001</v>
      </c>
      <c r="G28" s="320"/>
      <c r="H28" s="1224"/>
    </row>
    <row r="29" spans="1:8" ht="17.25" customHeight="1">
      <c r="A29" s="748" t="s">
        <v>1519</v>
      </c>
      <c r="B29" s="100"/>
      <c r="C29" s="97"/>
      <c r="D29" s="97"/>
      <c r="E29" s="97"/>
      <c r="F29" s="1224">
        <v>1182.0999999999999</v>
      </c>
      <c r="G29" s="97">
        <v>1513.9</v>
      </c>
      <c r="H29" s="1224">
        <v>72279.8</v>
      </c>
    </row>
    <row r="30" spans="1:8" ht="17.25" customHeight="1">
      <c r="A30" s="748" t="s">
        <v>1520</v>
      </c>
      <c r="B30" s="744" t="s">
        <v>367</v>
      </c>
      <c r="C30" s="97"/>
      <c r="D30" s="97"/>
      <c r="E30" s="97">
        <v>71.900000000000006</v>
      </c>
      <c r="F30" s="1224">
        <v>16.3</v>
      </c>
      <c r="G30" s="97">
        <v>392.8</v>
      </c>
      <c r="H30" s="1224">
        <v>34164.9</v>
      </c>
    </row>
    <row r="32" spans="1:8">
      <c r="A32" s="1462">
        <v>67</v>
      </c>
      <c r="B32" s="1462"/>
      <c r="C32" s="1462"/>
      <c r="D32" s="1462"/>
      <c r="E32" s="1462"/>
      <c r="F32" s="1462"/>
      <c r="G32" s="1462"/>
      <c r="H32" s="1462"/>
    </row>
  </sheetData>
  <mergeCells count="6">
    <mergeCell ref="A32:H32"/>
    <mergeCell ref="G5:H5"/>
    <mergeCell ref="A5:A6"/>
    <mergeCell ref="B5:B6"/>
    <mergeCell ref="C5:D5"/>
    <mergeCell ref="E5:F5"/>
  </mergeCells>
  <pageMargins left="0.7" right="0.7" top="0.44" bottom="0.43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29"/>
  <sheetViews>
    <sheetView workbookViewId="0">
      <selection activeCell="B6" sqref="B6"/>
    </sheetView>
  </sheetViews>
  <sheetFormatPr defaultRowHeight="14.25"/>
  <cols>
    <col min="1" max="1" width="12.5703125" style="486" customWidth="1"/>
    <col min="2" max="2" width="6.140625" style="1289" customWidth="1"/>
    <col min="3" max="3" width="8" style="1289" customWidth="1"/>
    <col min="4" max="4" width="7.85546875" style="1289" customWidth="1"/>
    <col min="5" max="5" width="6.5703125" style="1289" customWidth="1"/>
    <col min="6" max="7" width="7.28515625" style="1289" customWidth="1"/>
    <col min="8" max="8" width="6.28515625" style="1289" customWidth="1"/>
    <col min="9" max="9" width="7.28515625" style="1289" customWidth="1"/>
    <col min="10" max="10" width="7.5703125" style="1289" customWidth="1"/>
    <col min="11" max="11" width="6.42578125" style="1289" customWidth="1"/>
    <col min="12" max="12" width="7.28515625" style="1289" customWidth="1"/>
    <col min="13" max="13" width="8.140625" style="1289" customWidth="1"/>
    <col min="14" max="14" width="7.7109375" style="486" customWidth="1"/>
    <col min="15" max="15" width="8.85546875" style="486" customWidth="1"/>
    <col min="16" max="17" width="6.7109375" style="486" customWidth="1"/>
    <col min="18" max="18" width="7" style="486" customWidth="1"/>
    <col min="19" max="16384" width="9.140625" style="486"/>
  </cols>
  <sheetData>
    <row r="1" spans="1:18">
      <c r="A1" s="1412" t="s">
        <v>2341</v>
      </c>
      <c r="B1" s="1412"/>
      <c r="C1" s="1412"/>
      <c r="D1" s="1412"/>
      <c r="E1" s="1412"/>
      <c r="F1" s="1412"/>
      <c r="G1" s="1412"/>
      <c r="H1" s="1412"/>
      <c r="I1" s="1412"/>
      <c r="J1" s="1412"/>
      <c r="K1" s="1412"/>
      <c r="L1" s="1412"/>
      <c r="M1" s="1412"/>
      <c r="N1" s="1412"/>
      <c r="O1" s="1412"/>
      <c r="P1" s="1412"/>
      <c r="Q1" s="1412"/>
      <c r="R1" s="1412"/>
    </row>
    <row r="2" spans="1:18" ht="15.75" customHeight="1">
      <c r="M2" s="1253"/>
      <c r="O2" s="1413" t="s">
        <v>2342</v>
      </c>
      <c r="P2" s="1413"/>
      <c r="Q2" s="1413"/>
      <c r="R2" s="1413"/>
    </row>
    <row r="3" spans="1:18" ht="19.5" customHeight="1">
      <c r="A3" s="1414" t="s">
        <v>2343</v>
      </c>
      <c r="B3" s="1414" t="s">
        <v>2344</v>
      </c>
      <c r="C3" s="1414"/>
      <c r="D3" s="1414"/>
      <c r="E3" s="1414" t="s">
        <v>6</v>
      </c>
      <c r="F3" s="1414"/>
      <c r="G3" s="1414"/>
      <c r="H3" s="1414"/>
      <c r="I3" s="1414"/>
      <c r="J3" s="1414"/>
      <c r="K3" s="1414"/>
      <c r="L3" s="1414"/>
      <c r="M3" s="1414"/>
      <c r="N3" s="1414" t="s">
        <v>2345</v>
      </c>
      <c r="O3" s="1414" t="s">
        <v>6</v>
      </c>
      <c r="P3" s="1414"/>
      <c r="Q3" s="1414"/>
      <c r="R3" s="1414"/>
    </row>
    <row r="4" spans="1:18" ht="22.5" customHeight="1">
      <c r="A4" s="1414"/>
      <c r="B4" s="1414" t="s">
        <v>45</v>
      </c>
      <c r="C4" s="1415" t="s">
        <v>2346</v>
      </c>
      <c r="D4" s="1415" t="s">
        <v>7</v>
      </c>
      <c r="E4" s="1415" t="s">
        <v>2347</v>
      </c>
      <c r="F4" s="1415"/>
      <c r="G4" s="1415"/>
      <c r="H4" s="1415" t="s">
        <v>2348</v>
      </c>
      <c r="I4" s="1415">
        <v>3</v>
      </c>
      <c r="J4" s="1415">
        <v>4</v>
      </c>
      <c r="K4" s="1415" t="s">
        <v>2349</v>
      </c>
      <c r="L4" s="1415">
        <v>3</v>
      </c>
      <c r="M4" s="1415">
        <v>4</v>
      </c>
      <c r="N4" s="1414"/>
      <c r="O4" s="1415" t="s">
        <v>2347</v>
      </c>
      <c r="P4" s="1417" t="s">
        <v>2350</v>
      </c>
      <c r="Q4" s="1415" t="s">
        <v>2348</v>
      </c>
      <c r="R4" s="1415" t="s">
        <v>2349</v>
      </c>
    </row>
    <row r="5" spans="1:18" ht="22.5" customHeight="1">
      <c r="A5" s="1414"/>
      <c r="B5" s="1414"/>
      <c r="C5" s="1415"/>
      <c r="D5" s="1415"/>
      <c r="E5" s="1290" t="s">
        <v>45</v>
      </c>
      <c r="F5" s="1290" t="s">
        <v>2346</v>
      </c>
      <c r="G5" s="1290" t="s">
        <v>7</v>
      </c>
      <c r="H5" s="1290" t="s">
        <v>45</v>
      </c>
      <c r="I5" s="1290" t="s">
        <v>2346</v>
      </c>
      <c r="J5" s="1290" t="s">
        <v>7</v>
      </c>
      <c r="K5" s="1290" t="s">
        <v>45</v>
      </c>
      <c r="L5" s="1290" t="s">
        <v>2346</v>
      </c>
      <c r="M5" s="1290" t="s">
        <v>7</v>
      </c>
      <c r="N5" s="1414"/>
      <c r="O5" s="1415"/>
      <c r="P5" s="1415"/>
      <c r="Q5" s="1415" t="s">
        <v>45</v>
      </c>
      <c r="R5" s="1415" t="s">
        <v>2346</v>
      </c>
    </row>
    <row r="6" spans="1:18" ht="22.5" customHeight="1">
      <c r="A6" s="1370" t="s">
        <v>1622</v>
      </c>
      <c r="B6" s="1370">
        <v>41678</v>
      </c>
      <c r="C6" s="1370">
        <v>20283</v>
      </c>
      <c r="D6" s="1370">
        <v>21395</v>
      </c>
      <c r="E6" s="1370">
        <v>41429</v>
      </c>
      <c r="F6" s="1370">
        <v>20042</v>
      </c>
      <c r="G6" s="1370">
        <v>21387</v>
      </c>
      <c r="H6" s="1371">
        <v>0</v>
      </c>
      <c r="I6" s="1371">
        <v>0</v>
      </c>
      <c r="J6" s="1371">
        <v>0</v>
      </c>
      <c r="K6" s="1371">
        <v>249</v>
      </c>
      <c r="L6" s="1371">
        <v>241</v>
      </c>
      <c r="M6" s="1371">
        <v>8</v>
      </c>
      <c r="N6" s="1372">
        <v>12023</v>
      </c>
      <c r="O6" s="1372">
        <v>11990</v>
      </c>
      <c r="P6" s="1372">
        <v>0</v>
      </c>
      <c r="Q6" s="1372">
        <v>0</v>
      </c>
      <c r="R6" s="1372">
        <v>33</v>
      </c>
    </row>
    <row r="7" spans="1:18" ht="22.5" customHeight="1">
      <c r="A7" s="1370" t="s">
        <v>280</v>
      </c>
      <c r="B7" s="1370">
        <v>3026</v>
      </c>
      <c r="C7" s="1370">
        <v>1538</v>
      </c>
      <c r="D7" s="1370">
        <v>1488</v>
      </c>
      <c r="E7" s="1370">
        <v>0</v>
      </c>
      <c r="F7" s="1370">
        <v>0</v>
      </c>
      <c r="G7" s="1370">
        <v>0</v>
      </c>
      <c r="H7" s="1371">
        <v>1310</v>
      </c>
      <c r="I7" s="1371">
        <v>655</v>
      </c>
      <c r="J7" s="1371">
        <v>655</v>
      </c>
      <c r="K7" s="1371">
        <v>1716</v>
      </c>
      <c r="L7" s="1371">
        <v>883</v>
      </c>
      <c r="M7" s="1371">
        <v>833</v>
      </c>
      <c r="N7" s="1372">
        <v>810</v>
      </c>
      <c r="O7" s="1372">
        <v>0</v>
      </c>
      <c r="P7" s="1372">
        <v>0</v>
      </c>
      <c r="Q7" s="1372">
        <v>371</v>
      </c>
      <c r="R7" s="1372">
        <v>439</v>
      </c>
    </row>
    <row r="8" spans="1:18" ht="22.5" customHeight="1">
      <c r="A8" s="1370" t="s">
        <v>281</v>
      </c>
      <c r="B8" s="1370">
        <v>2085</v>
      </c>
      <c r="C8" s="1370">
        <v>1076</v>
      </c>
      <c r="D8" s="1370">
        <v>1009</v>
      </c>
      <c r="E8" s="1370">
        <v>0</v>
      </c>
      <c r="F8" s="1370">
        <v>0</v>
      </c>
      <c r="G8" s="1370">
        <v>0</v>
      </c>
      <c r="H8" s="1371">
        <v>0</v>
      </c>
      <c r="I8" s="1371">
        <v>0</v>
      </c>
      <c r="J8" s="1371">
        <v>0</v>
      </c>
      <c r="K8" s="1371">
        <v>2085</v>
      </c>
      <c r="L8" s="1371">
        <v>1076</v>
      </c>
      <c r="M8" s="1371">
        <v>1009</v>
      </c>
      <c r="N8" s="1372">
        <v>693</v>
      </c>
      <c r="O8" s="1372">
        <v>0</v>
      </c>
      <c r="P8" s="1372">
        <v>0</v>
      </c>
      <c r="Q8" s="1372">
        <v>0</v>
      </c>
      <c r="R8" s="1372">
        <v>693</v>
      </c>
    </row>
    <row r="9" spans="1:18" ht="22.5" customHeight="1">
      <c r="A9" s="1370" t="s">
        <v>290</v>
      </c>
      <c r="B9" s="1370">
        <v>4469</v>
      </c>
      <c r="C9" s="1370">
        <v>2286</v>
      </c>
      <c r="D9" s="1370">
        <v>2183</v>
      </c>
      <c r="E9" s="1370">
        <v>0</v>
      </c>
      <c r="F9" s="1370">
        <v>0</v>
      </c>
      <c r="G9" s="1370">
        <v>0</v>
      </c>
      <c r="H9" s="1371">
        <v>2754</v>
      </c>
      <c r="I9" s="1371">
        <v>1354</v>
      </c>
      <c r="J9" s="1371">
        <v>1400</v>
      </c>
      <c r="K9" s="1371">
        <v>1715</v>
      </c>
      <c r="L9" s="1371">
        <v>932</v>
      </c>
      <c r="M9" s="1371">
        <v>783</v>
      </c>
      <c r="N9" s="1372">
        <v>1366</v>
      </c>
      <c r="O9" s="1372">
        <v>0</v>
      </c>
      <c r="P9" s="1372">
        <v>0</v>
      </c>
      <c r="Q9" s="1372">
        <v>877</v>
      </c>
      <c r="R9" s="1372">
        <v>489</v>
      </c>
    </row>
    <row r="10" spans="1:18" ht="22.5" customHeight="1">
      <c r="A10" s="1370" t="s">
        <v>282</v>
      </c>
      <c r="B10" s="1370">
        <v>1674</v>
      </c>
      <c r="C10" s="1370">
        <v>863</v>
      </c>
      <c r="D10" s="1370">
        <v>811</v>
      </c>
      <c r="E10" s="1370">
        <v>29</v>
      </c>
      <c r="F10" s="1370">
        <v>18</v>
      </c>
      <c r="G10" s="1370">
        <v>11</v>
      </c>
      <c r="H10" s="1371">
        <v>729</v>
      </c>
      <c r="I10" s="1371">
        <v>366</v>
      </c>
      <c r="J10" s="1371">
        <v>363</v>
      </c>
      <c r="K10" s="1371">
        <v>916</v>
      </c>
      <c r="L10" s="1371">
        <v>479</v>
      </c>
      <c r="M10" s="1371">
        <v>437</v>
      </c>
      <c r="N10" s="1372">
        <v>520</v>
      </c>
      <c r="O10" s="1372">
        <v>15</v>
      </c>
      <c r="P10" s="1372">
        <v>0</v>
      </c>
      <c r="Q10" s="1372">
        <v>236</v>
      </c>
      <c r="R10" s="1372">
        <v>269</v>
      </c>
    </row>
    <row r="11" spans="1:18" ht="22.5" customHeight="1">
      <c r="A11" s="1370" t="s">
        <v>283</v>
      </c>
      <c r="B11" s="1370">
        <v>1349</v>
      </c>
      <c r="C11" s="1370">
        <v>717</v>
      </c>
      <c r="D11" s="1370">
        <v>632</v>
      </c>
      <c r="E11" s="1370">
        <v>170</v>
      </c>
      <c r="F11" s="1370">
        <v>86</v>
      </c>
      <c r="G11" s="1370">
        <v>84</v>
      </c>
      <c r="H11" s="1371">
        <v>469</v>
      </c>
      <c r="I11" s="1371">
        <v>237</v>
      </c>
      <c r="J11" s="1371">
        <v>232</v>
      </c>
      <c r="K11" s="1371">
        <v>710</v>
      </c>
      <c r="L11" s="1371">
        <v>394</v>
      </c>
      <c r="M11" s="1371">
        <v>316</v>
      </c>
      <c r="N11" s="1372">
        <v>430</v>
      </c>
      <c r="O11" s="1372">
        <v>61</v>
      </c>
      <c r="P11" s="1372">
        <v>0</v>
      </c>
      <c r="Q11" s="1372">
        <v>147</v>
      </c>
      <c r="R11" s="1372">
        <v>222</v>
      </c>
    </row>
    <row r="12" spans="1:18" ht="22.5" customHeight="1">
      <c r="A12" s="1370" t="s">
        <v>284</v>
      </c>
      <c r="B12" s="1370">
        <v>3272</v>
      </c>
      <c r="C12" s="1370">
        <v>1681</v>
      </c>
      <c r="D12" s="1370">
        <v>1591</v>
      </c>
      <c r="E12" s="1370">
        <v>0</v>
      </c>
      <c r="F12" s="1370">
        <v>0</v>
      </c>
      <c r="G12" s="1370">
        <v>0</v>
      </c>
      <c r="H12" s="1371">
        <v>793</v>
      </c>
      <c r="I12" s="1371">
        <v>399</v>
      </c>
      <c r="J12" s="1371">
        <v>394</v>
      </c>
      <c r="K12" s="1371">
        <v>2479</v>
      </c>
      <c r="L12" s="1371">
        <v>1282</v>
      </c>
      <c r="M12" s="1371">
        <v>1197</v>
      </c>
      <c r="N12" s="1372">
        <v>905</v>
      </c>
      <c r="O12" s="1372">
        <v>0</v>
      </c>
      <c r="P12" s="1372">
        <v>0</v>
      </c>
      <c r="Q12" s="1372">
        <v>260</v>
      </c>
      <c r="R12" s="1372">
        <v>645</v>
      </c>
    </row>
    <row r="13" spans="1:18" ht="22.5" customHeight="1">
      <c r="A13" s="1370" t="s">
        <v>285</v>
      </c>
      <c r="B13" s="1370">
        <v>2577</v>
      </c>
      <c r="C13" s="1370">
        <v>1337</v>
      </c>
      <c r="D13" s="1370">
        <v>1240</v>
      </c>
      <c r="E13" s="1370">
        <v>0</v>
      </c>
      <c r="F13" s="1370">
        <v>0</v>
      </c>
      <c r="G13" s="1370">
        <v>0</v>
      </c>
      <c r="H13" s="1371">
        <v>1124</v>
      </c>
      <c r="I13" s="1371">
        <v>578</v>
      </c>
      <c r="J13" s="1371">
        <v>546</v>
      </c>
      <c r="K13" s="1371">
        <v>1453</v>
      </c>
      <c r="L13" s="1371">
        <v>759</v>
      </c>
      <c r="M13" s="1371">
        <v>694</v>
      </c>
      <c r="N13" s="1372">
        <v>818</v>
      </c>
      <c r="O13" s="1372">
        <v>0</v>
      </c>
      <c r="P13" s="1372">
        <v>0</v>
      </c>
      <c r="Q13" s="1372">
        <v>368</v>
      </c>
      <c r="R13" s="1372">
        <v>450</v>
      </c>
    </row>
    <row r="14" spans="1:18" ht="22.5" customHeight="1">
      <c r="A14" s="1370" t="s">
        <v>288</v>
      </c>
      <c r="B14" s="1370">
        <v>2032</v>
      </c>
      <c r="C14" s="1370">
        <v>1048</v>
      </c>
      <c r="D14" s="1370">
        <v>984</v>
      </c>
      <c r="E14" s="1370">
        <v>0</v>
      </c>
      <c r="F14" s="1370">
        <v>0</v>
      </c>
      <c r="G14" s="1370">
        <v>0</v>
      </c>
      <c r="H14" s="1371">
        <v>320</v>
      </c>
      <c r="I14" s="1371">
        <v>176</v>
      </c>
      <c r="J14" s="1371">
        <v>144</v>
      </c>
      <c r="K14" s="1371">
        <v>1712</v>
      </c>
      <c r="L14" s="1371">
        <v>872</v>
      </c>
      <c r="M14" s="1371">
        <v>840</v>
      </c>
      <c r="N14" s="1372">
        <v>604</v>
      </c>
      <c r="O14" s="1372">
        <v>0</v>
      </c>
      <c r="P14" s="1372">
        <v>0</v>
      </c>
      <c r="Q14" s="1372">
        <v>87</v>
      </c>
      <c r="R14" s="1372">
        <v>517</v>
      </c>
    </row>
    <row r="15" spans="1:18" ht="22.5" customHeight="1">
      <c r="A15" s="1370" t="s">
        <v>286</v>
      </c>
      <c r="B15" s="1370">
        <v>3085</v>
      </c>
      <c r="C15" s="1370">
        <v>1609</v>
      </c>
      <c r="D15" s="1370">
        <v>1476</v>
      </c>
      <c r="E15" s="1370">
        <v>0</v>
      </c>
      <c r="F15" s="1370">
        <v>0</v>
      </c>
      <c r="G15" s="1370">
        <v>0</v>
      </c>
      <c r="H15" s="1371">
        <v>1707</v>
      </c>
      <c r="I15" s="1371">
        <v>874</v>
      </c>
      <c r="J15" s="1371">
        <v>833</v>
      </c>
      <c r="K15" s="1371">
        <v>1378</v>
      </c>
      <c r="L15" s="1371">
        <v>735</v>
      </c>
      <c r="M15" s="1371">
        <v>643</v>
      </c>
      <c r="N15" s="1372">
        <v>896</v>
      </c>
      <c r="O15" s="1372">
        <v>0</v>
      </c>
      <c r="P15" s="1372">
        <v>0</v>
      </c>
      <c r="Q15" s="1372">
        <v>534</v>
      </c>
      <c r="R15" s="1372">
        <v>362</v>
      </c>
    </row>
    <row r="16" spans="1:18" ht="22.5" customHeight="1">
      <c r="A16" s="1370" t="s">
        <v>287</v>
      </c>
      <c r="B16" s="1370">
        <v>1708</v>
      </c>
      <c r="C16" s="1370">
        <v>875</v>
      </c>
      <c r="D16" s="1370">
        <v>833</v>
      </c>
      <c r="E16" s="1370">
        <v>0</v>
      </c>
      <c r="F16" s="1370">
        <v>0</v>
      </c>
      <c r="G16" s="1370">
        <v>0</v>
      </c>
      <c r="H16" s="1371">
        <v>590</v>
      </c>
      <c r="I16" s="1371">
        <v>299</v>
      </c>
      <c r="J16" s="1371">
        <v>291</v>
      </c>
      <c r="K16" s="1371">
        <v>1118</v>
      </c>
      <c r="L16" s="1371">
        <v>576</v>
      </c>
      <c r="M16" s="1371">
        <v>542</v>
      </c>
      <c r="N16" s="1372">
        <v>507</v>
      </c>
      <c r="O16" s="1372">
        <v>0</v>
      </c>
      <c r="P16" s="1372">
        <v>0</v>
      </c>
      <c r="Q16" s="1372">
        <v>177</v>
      </c>
      <c r="R16" s="1372">
        <v>330</v>
      </c>
    </row>
    <row r="17" spans="1:18" ht="22.5" customHeight="1">
      <c r="A17" s="1370" t="s">
        <v>289</v>
      </c>
      <c r="B17" s="1370">
        <v>3520</v>
      </c>
      <c r="C17" s="1370">
        <v>1811</v>
      </c>
      <c r="D17" s="1370">
        <v>1709</v>
      </c>
      <c r="E17" s="1370">
        <v>0</v>
      </c>
      <c r="F17" s="1370">
        <v>0</v>
      </c>
      <c r="G17" s="1370">
        <v>0</v>
      </c>
      <c r="H17" s="1371">
        <v>1979</v>
      </c>
      <c r="I17" s="1371">
        <v>1018</v>
      </c>
      <c r="J17" s="1371">
        <v>961</v>
      </c>
      <c r="K17" s="1371">
        <v>1541</v>
      </c>
      <c r="L17" s="1371">
        <v>793</v>
      </c>
      <c r="M17" s="1371">
        <v>748</v>
      </c>
      <c r="N17" s="1372">
        <v>979</v>
      </c>
      <c r="O17" s="1372">
        <v>0</v>
      </c>
      <c r="P17" s="1372">
        <v>0</v>
      </c>
      <c r="Q17" s="1372">
        <v>562</v>
      </c>
      <c r="R17" s="1372">
        <v>417</v>
      </c>
    </row>
    <row r="18" spans="1:18" ht="22.5" customHeight="1">
      <c r="A18" s="1370" t="s">
        <v>291</v>
      </c>
      <c r="B18" s="1370">
        <v>2644</v>
      </c>
      <c r="C18" s="1370">
        <v>1338</v>
      </c>
      <c r="D18" s="1370">
        <v>1306</v>
      </c>
      <c r="E18" s="1370">
        <v>0</v>
      </c>
      <c r="F18" s="1370">
        <v>0</v>
      </c>
      <c r="G18" s="1370">
        <v>0</v>
      </c>
      <c r="H18" s="1371">
        <v>1336</v>
      </c>
      <c r="I18" s="1371">
        <v>638</v>
      </c>
      <c r="J18" s="1371">
        <v>698</v>
      </c>
      <c r="K18" s="1371">
        <v>1308</v>
      </c>
      <c r="L18" s="1371">
        <v>700</v>
      </c>
      <c r="M18" s="1371">
        <v>608</v>
      </c>
      <c r="N18" s="1372">
        <v>814</v>
      </c>
      <c r="O18" s="1372">
        <v>0</v>
      </c>
      <c r="P18" s="1372">
        <v>0</v>
      </c>
      <c r="Q18" s="1372">
        <v>411</v>
      </c>
      <c r="R18" s="1372">
        <v>403</v>
      </c>
    </row>
    <row r="19" spans="1:18" ht="22.5" customHeight="1">
      <c r="A19" s="1370" t="s">
        <v>292</v>
      </c>
      <c r="B19" s="1370">
        <v>1604</v>
      </c>
      <c r="C19" s="1370">
        <v>820</v>
      </c>
      <c r="D19" s="1370">
        <v>784</v>
      </c>
      <c r="E19" s="1370">
        <v>0</v>
      </c>
      <c r="F19" s="1370">
        <v>0</v>
      </c>
      <c r="G19" s="1370">
        <v>0</v>
      </c>
      <c r="H19" s="1371">
        <v>707</v>
      </c>
      <c r="I19" s="1371">
        <v>350</v>
      </c>
      <c r="J19" s="1371">
        <v>357</v>
      </c>
      <c r="K19" s="1371">
        <v>897</v>
      </c>
      <c r="L19" s="1371">
        <v>470</v>
      </c>
      <c r="M19" s="1371">
        <v>427</v>
      </c>
      <c r="N19" s="1372">
        <v>525</v>
      </c>
      <c r="O19" s="1372">
        <v>0</v>
      </c>
      <c r="P19" s="1372">
        <v>0</v>
      </c>
      <c r="Q19" s="1372">
        <v>245</v>
      </c>
      <c r="R19" s="1372">
        <v>280</v>
      </c>
    </row>
    <row r="20" spans="1:18" ht="22.5" customHeight="1">
      <c r="A20" s="1373" t="s">
        <v>2322</v>
      </c>
      <c r="B20" s="1374">
        <v>74723</v>
      </c>
      <c r="C20" s="1374">
        <v>37282</v>
      </c>
      <c r="D20" s="1374">
        <v>37441</v>
      </c>
      <c r="E20" s="1374">
        <v>41628</v>
      </c>
      <c r="F20" s="1374">
        <v>20146</v>
      </c>
      <c r="G20" s="1374">
        <v>21482</v>
      </c>
      <c r="H20" s="1375">
        <v>13818</v>
      </c>
      <c r="I20" s="1375">
        <v>6944</v>
      </c>
      <c r="J20" s="1375">
        <v>6874</v>
      </c>
      <c r="K20" s="1375">
        <v>19277</v>
      </c>
      <c r="L20" s="1375">
        <v>10192</v>
      </c>
      <c r="M20" s="1375">
        <v>9085</v>
      </c>
      <c r="N20" s="1376">
        <v>21890</v>
      </c>
      <c r="O20" s="1376">
        <v>12066</v>
      </c>
      <c r="P20" s="1376">
        <v>0</v>
      </c>
      <c r="Q20" s="1376">
        <v>4275</v>
      </c>
      <c r="R20" s="1376">
        <v>5549</v>
      </c>
    </row>
    <row r="21" spans="1:18" ht="22.5" customHeight="1">
      <c r="A21" s="1369" t="s">
        <v>1208</v>
      </c>
      <c r="B21" s="1377">
        <v>75036</v>
      </c>
      <c r="C21" s="1377">
        <v>37212</v>
      </c>
      <c r="D21" s="1377">
        <v>37824</v>
      </c>
      <c r="E21" s="1377">
        <v>40986</v>
      </c>
      <c r="F21" s="1377">
        <v>19762</v>
      </c>
      <c r="G21" s="1377">
        <v>21224</v>
      </c>
      <c r="H21" s="1377">
        <v>13592</v>
      </c>
      <c r="I21" s="1377">
        <v>6627</v>
      </c>
      <c r="J21" s="1377">
        <v>6965</v>
      </c>
      <c r="K21" s="1377">
        <v>20458</v>
      </c>
      <c r="L21" s="1377">
        <v>10823</v>
      </c>
      <c r="M21" s="1377">
        <v>9635</v>
      </c>
      <c r="N21" s="1377">
        <v>21921</v>
      </c>
      <c r="O21" s="1377">
        <v>11909</v>
      </c>
      <c r="P21" s="1377">
        <v>0</v>
      </c>
      <c r="Q21" s="1377">
        <v>4117</v>
      </c>
      <c r="R21" s="1377">
        <v>5895</v>
      </c>
    </row>
    <row r="22" spans="1:18" ht="22.5" customHeight="1">
      <c r="A22" s="1369" t="s">
        <v>2351</v>
      </c>
      <c r="B22" s="1377">
        <v>74473</v>
      </c>
      <c r="C22" s="1377">
        <v>36885</v>
      </c>
      <c r="D22" s="1377">
        <v>37588</v>
      </c>
      <c r="E22" s="1377">
        <v>40807</v>
      </c>
      <c r="F22" s="1377">
        <v>19631</v>
      </c>
      <c r="G22" s="1377">
        <v>21176</v>
      </c>
      <c r="H22" s="1377">
        <v>14785</v>
      </c>
      <c r="I22" s="1377">
        <v>7332</v>
      </c>
      <c r="J22" s="1377">
        <v>7453</v>
      </c>
      <c r="K22" s="1377">
        <v>18881</v>
      </c>
      <c r="L22" s="1377">
        <v>9922</v>
      </c>
      <c r="M22" s="1377">
        <v>8959</v>
      </c>
      <c r="N22" s="1377">
        <v>21565</v>
      </c>
      <c r="O22" s="1377">
        <v>11735</v>
      </c>
      <c r="P22" s="1377">
        <v>0</v>
      </c>
      <c r="Q22" s="1377">
        <v>4421</v>
      </c>
      <c r="R22" s="1377">
        <v>5409</v>
      </c>
    </row>
    <row r="23" spans="1:18" ht="22.5" customHeight="1">
      <c r="A23" s="1369" t="s">
        <v>2352</v>
      </c>
      <c r="B23" s="1377">
        <v>73892</v>
      </c>
      <c r="C23" s="1377">
        <v>36459</v>
      </c>
      <c r="D23" s="1377">
        <v>37438</v>
      </c>
      <c r="E23" s="1377">
        <v>39398</v>
      </c>
      <c r="F23" s="1377">
        <v>18958</v>
      </c>
      <c r="G23" s="1377">
        <v>20447</v>
      </c>
      <c r="H23" s="1377">
        <v>14811</v>
      </c>
      <c r="I23" s="1377">
        <v>7515</v>
      </c>
      <c r="J23" s="1377">
        <v>7309</v>
      </c>
      <c r="K23" s="1377">
        <v>19710</v>
      </c>
      <c r="L23" s="1377">
        <v>10014</v>
      </c>
      <c r="M23" s="1377">
        <v>9712</v>
      </c>
      <c r="N23" s="1377">
        <v>21323</v>
      </c>
      <c r="O23" s="1377">
        <v>11374</v>
      </c>
      <c r="P23" s="1377">
        <v>0</v>
      </c>
      <c r="Q23" s="1377">
        <v>4206</v>
      </c>
      <c r="R23" s="1377">
        <v>5743</v>
      </c>
    </row>
    <row r="29" spans="1:18">
      <c r="A29" s="1416">
        <v>21</v>
      </c>
      <c r="B29" s="1416"/>
      <c r="C29" s="1416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16"/>
      <c r="P29" s="1416"/>
      <c r="Q29" s="1416"/>
      <c r="R29" s="1416"/>
    </row>
  </sheetData>
  <mergeCells count="18">
    <mergeCell ref="A29:R29"/>
    <mergeCell ref="E4:G4"/>
    <mergeCell ref="H4:J4"/>
    <mergeCell ref="K4:M4"/>
    <mergeCell ref="O4:O5"/>
    <mergeCell ref="P4:P5"/>
    <mergeCell ref="Q4:Q5"/>
    <mergeCell ref="A1:R1"/>
    <mergeCell ref="O2:R2"/>
    <mergeCell ref="A3:A5"/>
    <mergeCell ref="B3:D3"/>
    <mergeCell ref="E3:M3"/>
    <mergeCell ref="N3:N5"/>
    <mergeCell ref="O3:R3"/>
    <mergeCell ref="B4:B5"/>
    <mergeCell ref="C4:C5"/>
    <mergeCell ref="D4:D5"/>
    <mergeCell ref="R4:R5"/>
  </mergeCells>
  <pageMargins left="0.43" right="0.33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N739"/>
  <sheetViews>
    <sheetView zoomScale="85" zoomScaleNormal="85" workbookViewId="0">
      <pane xSplit="7" ySplit="3" topLeftCell="AF4" activePane="bottomRight" state="frozen"/>
      <selection activeCell="BQ697" sqref="BQ697"/>
      <selection pane="topRight" activeCell="BQ697" sqref="BQ697"/>
      <selection pane="bottomLeft" activeCell="BQ697" sqref="BQ697"/>
      <selection pane="bottomRight" activeCell="E21" sqref="E21"/>
    </sheetView>
  </sheetViews>
  <sheetFormatPr defaultRowHeight="14.25" outlineLevelRow="5"/>
  <cols>
    <col min="1" max="1" width="3" style="924" customWidth="1"/>
    <col min="2" max="2" width="3.7109375" style="924" customWidth="1"/>
    <col min="3" max="3" width="3" style="924" customWidth="1"/>
    <col min="4" max="4" width="4.28515625" style="924" customWidth="1"/>
    <col min="5" max="5" width="69.5703125" style="924" customWidth="1"/>
    <col min="6" max="6" width="0.42578125" style="924" customWidth="1"/>
    <col min="7" max="7" width="15.140625" style="925" hidden="1" customWidth="1"/>
    <col min="8" max="10" width="12.7109375" style="924" hidden="1" customWidth="1"/>
    <col min="11" max="11" width="11" style="924" hidden="1" customWidth="1"/>
    <col min="12" max="30" width="9.140625" style="924" hidden="1" customWidth="1"/>
    <col min="31" max="31" width="9.42578125" style="924" hidden="1" customWidth="1"/>
    <col min="32" max="34" width="9.42578125" style="924" customWidth="1"/>
    <col min="35" max="63" width="9.140625" style="924" hidden="1" customWidth="1"/>
    <col min="64" max="66" width="0" style="924" hidden="1" customWidth="1"/>
    <col min="67" max="16384" width="9.140625" style="924"/>
  </cols>
  <sheetData>
    <row r="1" spans="1:35">
      <c r="A1" s="999"/>
      <c r="B1" s="1175" t="s">
        <v>2068</v>
      </c>
      <c r="C1" s="999"/>
      <c r="D1" s="999"/>
      <c r="E1" s="999"/>
      <c r="F1" s="999"/>
    </row>
    <row r="2" spans="1:35" ht="15" thickBot="1">
      <c r="A2" s="999"/>
      <c r="B2" s="999"/>
      <c r="C2" s="999"/>
      <c r="D2" s="999"/>
      <c r="E2" s="999"/>
      <c r="F2" s="999"/>
      <c r="H2" s="1090">
        <v>2010</v>
      </c>
      <c r="I2" s="1090">
        <v>2011</v>
      </c>
      <c r="J2" s="1090">
        <v>2011</v>
      </c>
      <c r="K2" s="1090">
        <v>2011</v>
      </c>
      <c r="L2" s="1090">
        <v>2011</v>
      </c>
      <c r="M2" s="1090">
        <v>2011</v>
      </c>
      <c r="N2" s="1090">
        <v>2011</v>
      </c>
      <c r="O2" s="1090">
        <v>2011</v>
      </c>
      <c r="P2" s="1090">
        <v>2011</v>
      </c>
      <c r="Q2" s="1090">
        <v>2011</v>
      </c>
      <c r="R2" s="1090">
        <v>2011</v>
      </c>
      <c r="S2" s="1063">
        <v>2011</v>
      </c>
      <c r="T2" s="1063">
        <v>2011</v>
      </c>
      <c r="U2" s="1063">
        <v>2012</v>
      </c>
      <c r="V2" s="1063">
        <v>2012</v>
      </c>
      <c r="W2" s="1063">
        <v>2012</v>
      </c>
      <c r="X2" s="1063">
        <v>2012</v>
      </c>
      <c r="Y2" s="1063">
        <v>2012</v>
      </c>
      <c r="Z2" s="1063">
        <v>2012</v>
      </c>
      <c r="AA2" s="1063">
        <v>2012</v>
      </c>
      <c r="AB2" s="1063">
        <v>2012</v>
      </c>
      <c r="AC2" s="1063">
        <v>2012</v>
      </c>
      <c r="AD2" s="1063">
        <v>2012</v>
      </c>
      <c r="AE2" s="1063">
        <v>2012</v>
      </c>
      <c r="AF2" s="1063">
        <v>2012</v>
      </c>
    </row>
    <row r="3" spans="1:35" ht="15" thickBot="1">
      <c r="A3" s="1089"/>
      <c r="B3" s="1088"/>
      <c r="C3" s="1088"/>
      <c r="D3" s="1088"/>
      <c r="E3" s="1087" t="s">
        <v>2067</v>
      </c>
      <c r="F3" s="999" t="s">
        <v>2066</v>
      </c>
      <c r="G3" s="1086" t="s">
        <v>2065</v>
      </c>
      <c r="H3" s="1060" t="s">
        <v>2049</v>
      </c>
      <c r="I3" s="1060" t="s">
        <v>2060</v>
      </c>
      <c r="J3" s="1060" t="s">
        <v>2059</v>
      </c>
      <c r="K3" s="1060" t="s">
        <v>2058</v>
      </c>
      <c r="L3" s="1060" t="s">
        <v>2057</v>
      </c>
      <c r="M3" s="1060" t="s">
        <v>2056</v>
      </c>
      <c r="N3" s="1060" t="s">
        <v>2055</v>
      </c>
      <c r="O3" s="1060" t="s">
        <v>2054</v>
      </c>
      <c r="P3" s="1060" t="s">
        <v>2053</v>
      </c>
      <c r="Q3" s="1060" t="s">
        <v>2052</v>
      </c>
      <c r="R3" s="1060" t="s">
        <v>2051</v>
      </c>
      <c r="S3" s="1060" t="s">
        <v>2050</v>
      </c>
      <c r="T3" s="1060" t="s">
        <v>2049</v>
      </c>
      <c r="U3" s="1060" t="s">
        <v>2060</v>
      </c>
      <c r="V3" s="1060" t="s">
        <v>2059</v>
      </c>
      <c r="W3" s="1060" t="s">
        <v>2058</v>
      </c>
      <c r="X3" s="1060" t="s">
        <v>2057</v>
      </c>
      <c r="Y3" s="1060" t="s">
        <v>2056</v>
      </c>
      <c r="Z3" s="1060" t="s">
        <v>2055</v>
      </c>
      <c r="AA3" s="1060" t="s">
        <v>2054</v>
      </c>
      <c r="AB3" s="1060" t="s">
        <v>2053</v>
      </c>
      <c r="AC3" s="1060" t="s">
        <v>2052</v>
      </c>
      <c r="AD3" s="1060" t="s">
        <v>2051</v>
      </c>
      <c r="AE3" s="1060" t="s">
        <v>2050</v>
      </c>
      <c r="AF3" s="1060" t="s">
        <v>2049</v>
      </c>
    </row>
    <row r="4" spans="1:35">
      <c r="A4" s="1059"/>
      <c r="B4" s="999"/>
      <c r="C4" s="999"/>
      <c r="D4" s="999"/>
      <c r="E4" s="999"/>
      <c r="F4" s="999"/>
      <c r="AA4" s="1085"/>
    </row>
    <row r="5" spans="1:35" outlineLevel="1">
      <c r="A5" s="1959" t="s">
        <v>2047</v>
      </c>
      <c r="B5" s="1959"/>
      <c r="C5" s="1959"/>
      <c r="D5" s="1959"/>
      <c r="E5" s="1959"/>
      <c r="F5" s="1056">
        <f>+F6+F69</f>
        <v>1537306.5062812001</v>
      </c>
      <c r="G5" s="1055">
        <f>+G6+G69</f>
        <v>0.31043727377494928</v>
      </c>
      <c r="AA5" s="1085"/>
    </row>
    <row r="6" spans="1:35" outlineLevel="2">
      <c r="A6" s="999"/>
      <c r="B6" s="1053" t="s">
        <v>2046</v>
      </c>
      <c r="C6" s="1053"/>
      <c r="D6" s="1053"/>
      <c r="E6" s="999"/>
      <c r="F6" s="1020">
        <f>+F7+F18+F28+F35+F40+F45+F55+F62</f>
        <v>1487876.2978232</v>
      </c>
      <c r="G6" s="1019">
        <f>+G7+G18+G28+G35+G40+G45+G55+G62</f>
        <v>0.30045554333073943</v>
      </c>
      <c r="AA6" s="1085"/>
    </row>
    <row r="7" spans="1:35" outlineLevel="3">
      <c r="A7" s="999"/>
      <c r="B7" s="1041">
        <v>1</v>
      </c>
      <c r="C7" s="1960" t="s">
        <v>2045</v>
      </c>
      <c r="D7" s="1960"/>
      <c r="E7" s="1960"/>
      <c r="F7" s="998">
        <f>SUM(F8:F17)</f>
        <v>452388.83104600001</v>
      </c>
      <c r="G7" s="997">
        <f>SUM(G8:G17)</f>
        <v>9.1353516570928869E-2</v>
      </c>
      <c r="AA7" s="1085"/>
    </row>
    <row r="8" spans="1:35" s="1010" customFormat="1" outlineLevel="4">
      <c r="A8" s="999"/>
      <c r="B8" s="999"/>
      <c r="C8" s="999"/>
      <c r="D8" s="1015">
        <v>1</v>
      </c>
      <c r="E8" s="1052" t="s">
        <v>2044</v>
      </c>
      <c r="F8" s="1046">
        <f>+'[10]7'!$P$9</f>
        <v>1387.1388300000001</v>
      </c>
      <c r="G8" s="987">
        <f t="shared" ref="G8:G17" si="0">+F8/$F$332</f>
        <v>2.8011303859908667E-4</v>
      </c>
      <c r="H8" s="1070">
        <v>1200</v>
      </c>
      <c r="I8" s="1070">
        <v>1200</v>
      </c>
      <c r="J8" s="1070">
        <v>1200</v>
      </c>
      <c r="K8" s="1070">
        <v>1200</v>
      </c>
      <c r="L8" s="1070">
        <v>1200</v>
      </c>
      <c r="M8" s="1070">
        <v>1200</v>
      </c>
      <c r="N8" s="1070">
        <v>1200</v>
      </c>
      <c r="O8" s="1070">
        <v>1200</v>
      </c>
      <c r="P8" s="1070">
        <v>1200</v>
      </c>
      <c r="Q8" s="1070">
        <v>1200</v>
      </c>
      <c r="R8" s="1070">
        <v>1200</v>
      </c>
      <c r="S8" s="1070">
        <v>1200</v>
      </c>
      <c r="T8" s="1070">
        <v>1200</v>
      </c>
      <c r="U8" s="1070">
        <v>1200</v>
      </c>
      <c r="V8" s="1073">
        <v>1200</v>
      </c>
      <c r="W8" s="1073">
        <v>1100</v>
      </c>
      <c r="X8" s="1073">
        <v>1000</v>
      </c>
      <c r="Y8" s="1073">
        <v>1000</v>
      </c>
      <c r="Z8" s="1073">
        <v>950</v>
      </c>
      <c r="AA8" s="1073">
        <v>950</v>
      </c>
      <c r="AB8" s="1073">
        <v>950</v>
      </c>
      <c r="AC8" s="1069">
        <v>900</v>
      </c>
      <c r="AD8" s="1069">
        <v>900</v>
      </c>
      <c r="AE8" s="1069">
        <v>900</v>
      </c>
      <c r="AF8" s="1069">
        <v>916.66666666666663</v>
      </c>
      <c r="AG8" s="1068"/>
      <c r="AH8" s="1068">
        <f t="shared" ref="AH8:AH71" si="1">+AF8-AE8</f>
        <v>16.666666666666629</v>
      </c>
      <c r="AI8" s="1067"/>
    </row>
    <row r="9" spans="1:35" s="1010" customFormat="1" outlineLevel="4">
      <c r="A9" s="999"/>
      <c r="B9" s="999"/>
      <c r="C9" s="999"/>
      <c r="D9" s="1015">
        <f t="shared" ref="D9:D17" si="2">+D8+1</f>
        <v>2</v>
      </c>
      <c r="E9" s="1014" t="s">
        <v>2043</v>
      </c>
      <c r="F9" s="1046">
        <f>+'[10]7'!$P$10</f>
        <v>97932.222000000009</v>
      </c>
      <c r="G9" s="987">
        <f t="shared" si="0"/>
        <v>1.9776025072544706E-2</v>
      </c>
      <c r="H9" s="1070">
        <v>640</v>
      </c>
      <c r="I9" s="1070">
        <v>640</v>
      </c>
      <c r="J9" s="1070">
        <v>640</v>
      </c>
      <c r="K9" s="1070">
        <v>640</v>
      </c>
      <c r="L9" s="1070">
        <v>640</v>
      </c>
      <c r="M9" s="1068">
        <v>640</v>
      </c>
      <c r="N9" s="1068">
        <v>680</v>
      </c>
      <c r="O9" s="1068">
        <v>680</v>
      </c>
      <c r="P9" s="1068">
        <v>680</v>
      </c>
      <c r="Q9" s="1068">
        <v>680</v>
      </c>
      <c r="R9" s="1068">
        <v>680</v>
      </c>
      <c r="S9" s="1068">
        <v>680</v>
      </c>
      <c r="T9" s="1068">
        <v>680</v>
      </c>
      <c r="U9" s="1073">
        <v>720</v>
      </c>
      <c r="V9" s="1073">
        <v>720</v>
      </c>
      <c r="W9" s="1073">
        <v>720</v>
      </c>
      <c r="X9" s="1073">
        <v>700</v>
      </c>
      <c r="Y9" s="1073">
        <v>700</v>
      </c>
      <c r="Z9" s="1073">
        <v>650</v>
      </c>
      <c r="AA9" s="1073">
        <v>650</v>
      </c>
      <c r="AB9" s="1073">
        <v>650</v>
      </c>
      <c r="AC9" s="1069">
        <v>630</v>
      </c>
      <c r="AD9" s="1069">
        <v>630</v>
      </c>
      <c r="AE9" s="1069">
        <v>630</v>
      </c>
      <c r="AF9" s="1069">
        <v>630</v>
      </c>
      <c r="AG9" s="1068"/>
      <c r="AH9" s="1068">
        <f t="shared" si="1"/>
        <v>0</v>
      </c>
      <c r="AI9" s="1067"/>
    </row>
    <row r="10" spans="1:35" s="1010" customFormat="1" outlineLevel="4">
      <c r="A10" s="999"/>
      <c r="B10" s="999"/>
      <c r="C10" s="999"/>
      <c r="D10" s="1015">
        <f t="shared" si="2"/>
        <v>3</v>
      </c>
      <c r="E10" s="1014" t="s">
        <v>2042</v>
      </c>
      <c r="F10" s="1046">
        <f>+'[10]7'!$P$11+'[10]7'!$P$12</f>
        <v>10925.122958000002</v>
      </c>
      <c r="G10" s="987">
        <f t="shared" si="0"/>
        <v>2.2061738325312562E-3</v>
      </c>
      <c r="H10" s="1070">
        <v>600</v>
      </c>
      <c r="I10" s="1070">
        <v>600</v>
      </c>
      <c r="J10" s="1070">
        <v>600</v>
      </c>
      <c r="K10" s="1070">
        <v>600</v>
      </c>
      <c r="L10" s="1070">
        <v>600</v>
      </c>
      <c r="M10" s="1070">
        <v>600</v>
      </c>
      <c r="N10" s="1068">
        <v>630</v>
      </c>
      <c r="O10" s="1068">
        <v>630</v>
      </c>
      <c r="P10" s="1068">
        <v>630</v>
      </c>
      <c r="Q10" s="1068">
        <v>630</v>
      </c>
      <c r="R10" s="1068">
        <v>630</v>
      </c>
      <c r="S10" s="1068">
        <v>630</v>
      </c>
      <c r="T10" s="1068">
        <v>630</v>
      </c>
      <c r="U10" s="1073">
        <v>650</v>
      </c>
      <c r="V10" s="1073">
        <v>650</v>
      </c>
      <c r="W10" s="1073">
        <v>650</v>
      </c>
      <c r="X10" s="1073">
        <v>620</v>
      </c>
      <c r="Y10" s="1073">
        <v>620</v>
      </c>
      <c r="Z10" s="1073">
        <v>580</v>
      </c>
      <c r="AA10" s="1073">
        <v>580</v>
      </c>
      <c r="AB10" s="1073">
        <v>580</v>
      </c>
      <c r="AC10" s="1069">
        <v>580</v>
      </c>
      <c r="AD10" s="1069">
        <v>580</v>
      </c>
      <c r="AE10" s="1069">
        <v>580</v>
      </c>
      <c r="AF10" s="1069">
        <v>580</v>
      </c>
      <c r="AG10" s="1068"/>
      <c r="AH10" s="1068">
        <f t="shared" si="1"/>
        <v>0</v>
      </c>
      <c r="AI10" s="1067"/>
    </row>
    <row r="11" spans="1:35" s="1010" customFormat="1" outlineLevel="4">
      <c r="A11" s="999"/>
      <c r="B11" s="999"/>
      <c r="C11" s="999"/>
      <c r="D11" s="1015">
        <f t="shared" si="2"/>
        <v>4</v>
      </c>
      <c r="E11" s="1014" t="s">
        <v>2041</v>
      </c>
      <c r="F11" s="1046">
        <f>+'[10]7'!$P$14+'[10]7'!$P$82</f>
        <v>20079.047870000002</v>
      </c>
      <c r="G11" s="987">
        <f t="shared" si="0"/>
        <v>4.0546793077966244E-3</v>
      </c>
      <c r="H11" s="1070">
        <v>743</v>
      </c>
      <c r="I11" s="1070">
        <v>737</v>
      </c>
      <c r="J11" s="1070">
        <v>777</v>
      </c>
      <c r="K11" s="1070">
        <v>780</v>
      </c>
      <c r="L11" s="1070">
        <v>780</v>
      </c>
      <c r="M11" s="1068">
        <v>780</v>
      </c>
      <c r="N11" s="1068">
        <v>780</v>
      </c>
      <c r="O11" s="1068">
        <v>780</v>
      </c>
      <c r="P11" s="1068">
        <v>780</v>
      </c>
      <c r="Q11" s="1068">
        <v>780</v>
      </c>
      <c r="R11" s="1068">
        <v>793</v>
      </c>
      <c r="S11" s="1068">
        <v>793</v>
      </c>
      <c r="T11" s="1068">
        <v>833</v>
      </c>
      <c r="U11" s="1073">
        <v>850</v>
      </c>
      <c r="V11" s="1073">
        <v>850</v>
      </c>
      <c r="W11" s="1073">
        <v>800</v>
      </c>
      <c r="X11" s="1073">
        <v>820</v>
      </c>
      <c r="Y11" s="1073">
        <v>840</v>
      </c>
      <c r="Z11" s="1073">
        <v>820</v>
      </c>
      <c r="AA11" s="1073">
        <v>850</v>
      </c>
      <c r="AB11" s="1073">
        <v>850</v>
      </c>
      <c r="AC11" s="1069">
        <v>850</v>
      </c>
      <c r="AD11" s="1069">
        <v>850</v>
      </c>
      <c r="AE11" s="1069">
        <v>850</v>
      </c>
      <c r="AF11" s="1069">
        <v>846.66666666666663</v>
      </c>
      <c r="AG11" s="1068"/>
      <c r="AH11" s="1068">
        <f t="shared" si="1"/>
        <v>-3.3333333333333712</v>
      </c>
      <c r="AI11" s="1067"/>
    </row>
    <row r="12" spans="1:35" s="1010" customFormat="1" outlineLevel="4">
      <c r="A12" s="999"/>
      <c r="B12" s="999"/>
      <c r="C12" s="999"/>
      <c r="D12" s="1015">
        <f t="shared" si="2"/>
        <v>5</v>
      </c>
      <c r="E12" s="1014" t="s">
        <v>2040</v>
      </c>
      <c r="F12" s="1046">
        <f>+'[10]7'!$P$13+'[10]7'!$P$21</f>
        <v>6348.0235300000004</v>
      </c>
      <c r="G12" s="987">
        <f t="shared" si="0"/>
        <v>1.2818934353433105E-3</v>
      </c>
      <c r="H12" s="1070">
        <v>763</v>
      </c>
      <c r="I12" s="1070">
        <v>787</v>
      </c>
      <c r="J12" s="1070">
        <v>780</v>
      </c>
      <c r="K12" s="1070">
        <v>780</v>
      </c>
      <c r="L12" s="1070">
        <v>780</v>
      </c>
      <c r="M12" s="1068">
        <v>780</v>
      </c>
      <c r="N12" s="1068">
        <v>780</v>
      </c>
      <c r="O12" s="1068">
        <v>780</v>
      </c>
      <c r="P12" s="1068">
        <v>780</v>
      </c>
      <c r="Q12" s="1068">
        <v>793</v>
      </c>
      <c r="R12" s="1068">
        <v>793</v>
      </c>
      <c r="S12" s="1068">
        <v>793</v>
      </c>
      <c r="T12" s="1068">
        <v>817</v>
      </c>
      <c r="U12" s="1076">
        <v>850</v>
      </c>
      <c r="V12" s="1073">
        <v>850</v>
      </c>
      <c r="W12" s="1073">
        <v>800</v>
      </c>
      <c r="X12" s="1073">
        <v>800</v>
      </c>
      <c r="Y12" s="1073">
        <v>800</v>
      </c>
      <c r="Z12" s="1073">
        <v>800</v>
      </c>
      <c r="AA12" s="1073">
        <v>800</v>
      </c>
      <c r="AB12" s="1073">
        <v>800</v>
      </c>
      <c r="AC12" s="1069">
        <v>750</v>
      </c>
      <c r="AD12" s="1069">
        <v>750</v>
      </c>
      <c r="AE12" s="1069">
        <v>736.66666666666663</v>
      </c>
      <c r="AF12" s="1069">
        <v>750</v>
      </c>
      <c r="AG12" s="1068"/>
      <c r="AH12" s="1068">
        <f t="shared" si="1"/>
        <v>13.333333333333371</v>
      </c>
      <c r="AI12" s="1067"/>
    </row>
    <row r="13" spans="1:35" s="1010" customFormat="1" outlineLevel="4">
      <c r="A13" s="999"/>
      <c r="B13" s="999"/>
      <c r="C13" s="999"/>
      <c r="D13" s="1015">
        <f t="shared" si="2"/>
        <v>6</v>
      </c>
      <c r="E13" s="1014" t="s">
        <v>2039</v>
      </c>
      <c r="F13" s="1046">
        <f>+'[10]7'!$P$7</f>
        <v>118604.13500000001</v>
      </c>
      <c r="G13" s="987">
        <f t="shared" si="0"/>
        <v>2.3950425095710347E-2</v>
      </c>
      <c r="H13" s="1070">
        <v>587</v>
      </c>
      <c r="I13" s="1070">
        <v>587</v>
      </c>
      <c r="J13" s="1070">
        <v>637</v>
      </c>
      <c r="K13" s="1070">
        <v>617</v>
      </c>
      <c r="L13" s="1070">
        <v>617</v>
      </c>
      <c r="M13" s="1068">
        <v>617</v>
      </c>
      <c r="N13" s="1068">
        <v>617</v>
      </c>
      <c r="O13" s="1068">
        <v>617</v>
      </c>
      <c r="P13" s="1068">
        <v>617</v>
      </c>
      <c r="Q13" s="1068">
        <v>617</v>
      </c>
      <c r="R13" s="1068">
        <v>617</v>
      </c>
      <c r="S13" s="1068">
        <v>617</v>
      </c>
      <c r="T13" s="1068">
        <v>600</v>
      </c>
      <c r="U13" s="1073">
        <v>600</v>
      </c>
      <c r="V13" s="1073">
        <v>600</v>
      </c>
      <c r="W13" s="1073">
        <v>600</v>
      </c>
      <c r="X13" s="1073">
        <v>600</v>
      </c>
      <c r="Y13" s="1073">
        <v>600</v>
      </c>
      <c r="Z13" s="1073">
        <v>600</v>
      </c>
      <c r="AA13" s="1073">
        <v>600</v>
      </c>
      <c r="AB13" s="1073">
        <v>600</v>
      </c>
      <c r="AC13" s="1069">
        <v>600</v>
      </c>
      <c r="AD13" s="1069">
        <v>600</v>
      </c>
      <c r="AE13" s="1069">
        <v>600</v>
      </c>
      <c r="AF13" s="1069">
        <v>600</v>
      </c>
      <c r="AG13" s="1068"/>
      <c r="AH13" s="1068">
        <f t="shared" si="1"/>
        <v>0</v>
      </c>
      <c r="AI13" s="1067"/>
    </row>
    <row r="14" spans="1:35" s="1010" customFormat="1" outlineLevel="4">
      <c r="A14" s="999"/>
      <c r="B14" s="999"/>
      <c r="C14" s="999"/>
      <c r="D14" s="1015">
        <f t="shared" si="2"/>
        <v>7</v>
      </c>
      <c r="E14" s="1014" t="s">
        <v>2038</v>
      </c>
      <c r="F14" s="1046">
        <f>+'[10]7'!$P$15+'[10]7'!$P$17+'[10]7'!$P$20</f>
        <v>81116.076399999991</v>
      </c>
      <c r="G14" s="987">
        <f t="shared" si="0"/>
        <v>1.6380242660815472E-2</v>
      </c>
      <c r="H14" s="1070">
        <v>1467</v>
      </c>
      <c r="I14" s="1070">
        <v>1500</v>
      </c>
      <c r="J14" s="1070">
        <v>1483</v>
      </c>
      <c r="K14" s="1070">
        <v>1530</v>
      </c>
      <c r="L14" s="1070">
        <v>1600</v>
      </c>
      <c r="M14" s="1068">
        <v>1600</v>
      </c>
      <c r="N14" s="1068">
        <v>1600</v>
      </c>
      <c r="O14" s="1068">
        <v>1600</v>
      </c>
      <c r="P14" s="1068">
        <v>1600</v>
      </c>
      <c r="Q14" s="1068">
        <v>1600</v>
      </c>
      <c r="R14" s="1068">
        <v>1600</v>
      </c>
      <c r="S14" s="1068">
        <v>1650</v>
      </c>
      <c r="T14" s="1068">
        <v>1650</v>
      </c>
      <c r="U14" s="1073">
        <v>1700</v>
      </c>
      <c r="V14" s="1073">
        <v>1700</v>
      </c>
      <c r="W14" s="1073">
        <v>1700</v>
      </c>
      <c r="X14" s="1073">
        <v>1700</v>
      </c>
      <c r="Y14" s="1073">
        <v>1700</v>
      </c>
      <c r="Z14" s="1073">
        <v>1700</v>
      </c>
      <c r="AA14" s="1073">
        <v>1700</v>
      </c>
      <c r="AB14" s="1073">
        <v>1700</v>
      </c>
      <c r="AC14" s="1069">
        <v>1700</v>
      </c>
      <c r="AD14" s="1069">
        <v>1700</v>
      </c>
      <c r="AE14" s="1069">
        <v>1700</v>
      </c>
      <c r="AF14" s="1069">
        <v>1766.6666666666667</v>
      </c>
      <c r="AG14" s="1068"/>
      <c r="AH14" s="1068">
        <f t="shared" si="1"/>
        <v>66.666666666666742</v>
      </c>
      <c r="AI14" s="1067"/>
    </row>
    <row r="15" spans="1:35" s="1010" customFormat="1" outlineLevel="4">
      <c r="A15" s="999"/>
      <c r="B15" s="999"/>
      <c r="C15" s="999"/>
      <c r="D15" s="1015">
        <f t="shared" si="2"/>
        <v>8</v>
      </c>
      <c r="E15" s="1014" t="s">
        <v>2037</v>
      </c>
      <c r="F15" s="1046">
        <f>+'[10]7'!$P$16</f>
        <v>7879.3350300000002</v>
      </c>
      <c r="G15" s="987">
        <f t="shared" si="0"/>
        <v>1.591120102516001E-3</v>
      </c>
      <c r="H15" s="1070">
        <v>467</v>
      </c>
      <c r="I15" s="1070">
        <v>467</v>
      </c>
      <c r="J15" s="1070">
        <v>467</v>
      </c>
      <c r="K15" s="1070">
        <v>467</v>
      </c>
      <c r="L15" s="1070">
        <v>477</v>
      </c>
      <c r="M15" s="1068">
        <v>490</v>
      </c>
      <c r="N15" s="1068">
        <v>650</v>
      </c>
      <c r="O15" s="1068">
        <v>733</v>
      </c>
      <c r="P15" s="1068">
        <v>717</v>
      </c>
      <c r="Q15" s="1068">
        <v>723</v>
      </c>
      <c r="R15" s="1068">
        <v>723</v>
      </c>
      <c r="S15" s="1068">
        <v>733</v>
      </c>
      <c r="T15" s="1068">
        <v>733</v>
      </c>
      <c r="U15" s="1073">
        <v>800</v>
      </c>
      <c r="V15" s="1073">
        <v>800</v>
      </c>
      <c r="W15" s="1073">
        <v>800</v>
      </c>
      <c r="X15" s="1073">
        <v>800</v>
      </c>
      <c r="Y15" s="1073">
        <v>800</v>
      </c>
      <c r="Z15" s="1073">
        <v>800</v>
      </c>
      <c r="AA15" s="1073">
        <v>800</v>
      </c>
      <c r="AB15" s="1073">
        <v>800</v>
      </c>
      <c r="AC15" s="1069">
        <v>800</v>
      </c>
      <c r="AD15" s="1069">
        <v>800</v>
      </c>
      <c r="AE15" s="1069">
        <v>800</v>
      </c>
      <c r="AF15" s="1069">
        <v>800</v>
      </c>
      <c r="AG15" s="1068"/>
      <c r="AH15" s="1068">
        <f t="shared" si="1"/>
        <v>0</v>
      </c>
      <c r="AI15" s="1067"/>
    </row>
    <row r="16" spans="1:35" s="1010" customFormat="1" outlineLevel="4">
      <c r="A16" s="999"/>
      <c r="B16" s="999"/>
      <c r="C16" s="999"/>
      <c r="D16" s="1015">
        <f t="shared" si="2"/>
        <v>9</v>
      </c>
      <c r="E16" s="1014" t="s">
        <v>2036</v>
      </c>
      <c r="F16" s="1046">
        <f>+'[10]7'!$P$8</f>
        <v>104019.86899999999</v>
      </c>
      <c r="G16" s="987">
        <f t="shared" si="0"/>
        <v>2.1005339155756267E-2</v>
      </c>
      <c r="H16" s="1070">
        <v>1533</v>
      </c>
      <c r="I16" s="1070">
        <v>1533</v>
      </c>
      <c r="J16" s="1070">
        <v>1433</v>
      </c>
      <c r="K16" s="1070">
        <v>1417</v>
      </c>
      <c r="L16" s="1070">
        <v>1400</v>
      </c>
      <c r="M16" s="1068">
        <v>1367</v>
      </c>
      <c r="N16" s="1068">
        <v>1300</v>
      </c>
      <c r="O16" s="1068">
        <v>1300</v>
      </c>
      <c r="P16" s="1068">
        <v>1300</v>
      </c>
      <c r="Q16" s="1068">
        <v>1450</v>
      </c>
      <c r="R16" s="1068">
        <v>1450</v>
      </c>
      <c r="S16" s="1068">
        <v>1450</v>
      </c>
      <c r="T16" s="1068">
        <v>1500</v>
      </c>
      <c r="U16" s="1073">
        <v>1500</v>
      </c>
      <c r="V16" s="1073">
        <v>1500</v>
      </c>
      <c r="W16" s="1073">
        <v>1500</v>
      </c>
      <c r="X16" s="1073">
        <v>1500</v>
      </c>
      <c r="Y16" s="1073">
        <v>1500</v>
      </c>
      <c r="Z16" s="1073">
        <v>1400</v>
      </c>
      <c r="AA16" s="1073">
        <v>1500</v>
      </c>
      <c r="AB16" s="1073">
        <v>1400</v>
      </c>
      <c r="AC16" s="1069">
        <v>1400</v>
      </c>
      <c r="AD16" s="1069">
        <v>1400</v>
      </c>
      <c r="AE16" s="1069">
        <v>1400</v>
      </c>
      <c r="AF16" s="1069">
        <v>1466.6666666666667</v>
      </c>
      <c r="AG16" s="1068"/>
      <c r="AH16" s="1068">
        <f t="shared" si="1"/>
        <v>66.666666666666742</v>
      </c>
      <c r="AI16" s="1067"/>
    </row>
    <row r="17" spans="1:35" s="1010" customFormat="1" outlineLevel="4">
      <c r="A17" s="999"/>
      <c r="B17" s="999"/>
      <c r="C17" s="999"/>
      <c r="D17" s="1015">
        <f t="shared" si="2"/>
        <v>10</v>
      </c>
      <c r="E17" s="1014" t="s">
        <v>2035</v>
      </c>
      <c r="F17" s="1046">
        <f>+'[10]7'!$P$18+'[10]7'!$P$19</f>
        <v>4097.860428</v>
      </c>
      <c r="G17" s="987">
        <f t="shared" si="0"/>
        <v>8.2750486931580875E-4</v>
      </c>
      <c r="H17" s="1070">
        <v>1600</v>
      </c>
      <c r="I17" s="1070">
        <v>1633</v>
      </c>
      <c r="J17" s="1070">
        <v>1633</v>
      </c>
      <c r="K17" s="1070">
        <v>1567</v>
      </c>
      <c r="L17" s="1070">
        <v>1600</v>
      </c>
      <c r="M17" s="1068">
        <v>1600</v>
      </c>
      <c r="N17" s="1068">
        <v>1700</v>
      </c>
      <c r="O17" s="1068">
        <v>1700</v>
      </c>
      <c r="P17" s="1068">
        <v>1600</v>
      </c>
      <c r="Q17" s="1068">
        <v>1633</v>
      </c>
      <c r="R17" s="1068">
        <v>1633</v>
      </c>
      <c r="S17" s="1068">
        <v>1633</v>
      </c>
      <c r="T17" s="1068">
        <v>1700</v>
      </c>
      <c r="U17" s="1073">
        <v>1800</v>
      </c>
      <c r="V17" s="1073">
        <v>1800</v>
      </c>
      <c r="W17" s="1073">
        <v>1800</v>
      </c>
      <c r="X17" s="1073">
        <v>1800</v>
      </c>
      <c r="Y17" s="1073">
        <v>1800</v>
      </c>
      <c r="Z17" s="1073">
        <v>1800</v>
      </c>
      <c r="AA17" s="1073">
        <v>1700</v>
      </c>
      <c r="AB17" s="1073">
        <v>1700</v>
      </c>
      <c r="AC17" s="1069">
        <v>1700</v>
      </c>
      <c r="AD17" s="1069">
        <v>1700</v>
      </c>
      <c r="AE17" s="1069">
        <v>1733.3333333333333</v>
      </c>
      <c r="AF17" s="1069">
        <v>1733.3333333333333</v>
      </c>
      <c r="AG17" s="1068"/>
      <c r="AH17" s="1068">
        <f t="shared" si="1"/>
        <v>0</v>
      </c>
      <c r="AI17" s="1067"/>
    </row>
    <row r="18" spans="1:35" outlineLevel="3">
      <c r="A18" s="999"/>
      <c r="B18" s="1043">
        <v>2</v>
      </c>
      <c r="C18" s="1956" t="s">
        <v>2034</v>
      </c>
      <c r="D18" s="1956"/>
      <c r="E18" s="1956"/>
      <c r="F18" s="998">
        <f>SUM(F19:F27)</f>
        <v>416398.66261999996</v>
      </c>
      <c r="G18" s="997">
        <f>SUM(G19:G27)</f>
        <v>8.4085811839817171E-2</v>
      </c>
      <c r="H18" s="1051"/>
      <c r="I18" s="1051"/>
      <c r="J18" s="1051"/>
      <c r="K18" s="1051"/>
      <c r="L18" s="1051"/>
      <c r="M18" s="1068"/>
      <c r="N18" s="1068"/>
      <c r="O18" s="1068"/>
      <c r="P18" s="1068"/>
      <c r="Q18" s="1068"/>
      <c r="R18" s="1068"/>
      <c r="S18" s="1068"/>
      <c r="T18" s="1068"/>
      <c r="U18" s="705"/>
      <c r="V18" s="705"/>
      <c r="W18" s="705"/>
      <c r="X18" s="705"/>
      <c r="Y18" s="705"/>
      <c r="Z18" s="705"/>
      <c r="AA18" s="705"/>
      <c r="AB18" s="705"/>
      <c r="AC18" s="1069"/>
      <c r="AD18" s="1069"/>
      <c r="AE18" s="1069"/>
      <c r="AF18" s="1069"/>
      <c r="AG18" s="1068"/>
      <c r="AH18" s="1068">
        <f t="shared" si="1"/>
        <v>0</v>
      </c>
    </row>
    <row r="19" spans="1:35" s="1010" customFormat="1" outlineLevel="4">
      <c r="A19" s="999"/>
      <c r="B19" s="999"/>
      <c r="C19" s="999"/>
      <c r="D19" s="1015">
        <f>+D17+1</f>
        <v>11</v>
      </c>
      <c r="E19" s="1017" t="s">
        <v>2033</v>
      </c>
      <c r="F19" s="1046">
        <f>+'[10]7'!$P$22</f>
        <v>110236.07800000001</v>
      </c>
      <c r="G19" s="987">
        <f t="shared" ref="G19:G27" si="3">+F19/$F$332</f>
        <v>2.2260614513852181E-2</v>
      </c>
      <c r="H19" s="1070">
        <v>2300</v>
      </c>
      <c r="I19" s="1070">
        <v>3600</v>
      </c>
      <c r="J19" s="1070">
        <v>3800</v>
      </c>
      <c r="K19" s="1070">
        <v>3500</v>
      </c>
      <c r="L19" s="1070">
        <v>4000</v>
      </c>
      <c r="M19" s="1068">
        <v>4000</v>
      </c>
      <c r="N19" s="1068">
        <v>3800</v>
      </c>
      <c r="O19" s="1068">
        <v>3700</v>
      </c>
      <c r="P19" s="1068">
        <v>3300</v>
      </c>
      <c r="Q19" s="1068">
        <v>3900</v>
      </c>
      <c r="R19" s="1068">
        <v>3900</v>
      </c>
      <c r="S19" s="1068">
        <v>3900</v>
      </c>
      <c r="T19" s="1068">
        <v>4067</v>
      </c>
      <c r="U19" s="1073">
        <v>4200</v>
      </c>
      <c r="V19" s="1073">
        <v>5000</v>
      </c>
      <c r="W19" s="1073">
        <v>6500</v>
      </c>
      <c r="X19" s="1073">
        <v>6500</v>
      </c>
      <c r="Y19" s="1073">
        <v>6700</v>
      </c>
      <c r="Z19" s="1073">
        <v>6800</v>
      </c>
      <c r="AA19" s="1073">
        <v>7000</v>
      </c>
      <c r="AB19" s="1073">
        <v>6300</v>
      </c>
      <c r="AC19" s="1069">
        <v>6000</v>
      </c>
      <c r="AD19" s="1069">
        <v>5200</v>
      </c>
      <c r="AE19" s="1069">
        <v>5500</v>
      </c>
      <c r="AF19" s="1069">
        <v>5700</v>
      </c>
      <c r="AG19" s="1068"/>
      <c r="AH19" s="1068">
        <f t="shared" si="1"/>
        <v>200</v>
      </c>
      <c r="AI19" s="1067"/>
    </row>
    <row r="20" spans="1:35" s="1010" customFormat="1" outlineLevel="4">
      <c r="A20" s="999"/>
      <c r="B20" s="999"/>
      <c r="C20" s="999"/>
      <c r="D20" s="1015">
        <f>+D19+1</f>
        <v>12</v>
      </c>
      <c r="E20" s="1017" t="s">
        <v>2032</v>
      </c>
      <c r="F20" s="1051">
        <f>+('[10]7'!$P$23+'[10]7'!$P$27)*0.5</f>
        <v>83329.938500000004</v>
      </c>
      <c r="G20" s="987">
        <f t="shared" si="3"/>
        <v>1.6827300753674397E-2</v>
      </c>
      <c r="H20" s="1070">
        <v>2800</v>
      </c>
      <c r="I20" s="1070">
        <v>4200</v>
      </c>
      <c r="J20" s="1070">
        <v>4167</v>
      </c>
      <c r="K20" s="1070">
        <v>3700</v>
      </c>
      <c r="L20" s="1070">
        <v>4133</v>
      </c>
      <c r="M20" s="1068">
        <v>4767</v>
      </c>
      <c r="N20" s="1068">
        <v>4000</v>
      </c>
      <c r="O20" s="1068">
        <v>4433</v>
      </c>
      <c r="P20" s="1068">
        <v>3633</v>
      </c>
      <c r="Q20" s="1068">
        <v>4333</v>
      </c>
      <c r="R20" s="1068">
        <v>4433</v>
      </c>
      <c r="S20" s="1068">
        <v>4533</v>
      </c>
      <c r="T20" s="1068">
        <v>4933</v>
      </c>
      <c r="U20" s="1073">
        <v>5200</v>
      </c>
      <c r="V20" s="1073">
        <v>5800</v>
      </c>
      <c r="W20" s="1073">
        <v>7000</v>
      </c>
      <c r="X20" s="1073">
        <v>7500</v>
      </c>
      <c r="Y20" s="1073">
        <v>7800</v>
      </c>
      <c r="Z20" s="1073">
        <v>8200</v>
      </c>
      <c r="AA20" s="1073">
        <v>8200</v>
      </c>
      <c r="AB20" s="1073">
        <v>7000</v>
      </c>
      <c r="AC20" s="1069">
        <v>5950</v>
      </c>
      <c r="AD20" s="1069">
        <v>6200</v>
      </c>
      <c r="AE20" s="1069">
        <v>6666.666666666667</v>
      </c>
      <c r="AF20" s="1069">
        <v>6933.333333333333</v>
      </c>
      <c r="AG20" s="1068"/>
      <c r="AH20" s="1068">
        <f t="shared" si="1"/>
        <v>266.66666666666606</v>
      </c>
      <c r="AI20" s="1067"/>
    </row>
    <row r="21" spans="1:35" s="1010" customFormat="1" outlineLevel="4">
      <c r="A21" s="999"/>
      <c r="B21" s="999"/>
      <c r="C21" s="999"/>
      <c r="D21" s="1015">
        <v>13</v>
      </c>
      <c r="E21" s="1045" t="s">
        <v>2031</v>
      </c>
      <c r="F21" s="1051">
        <f>+('[10]7'!$P$23+'[10]7'!$P$27)*0.5</f>
        <v>83329.938500000004</v>
      </c>
      <c r="G21" s="987">
        <f t="shared" si="3"/>
        <v>1.6827300753674397E-2</v>
      </c>
      <c r="H21" s="1070">
        <v>3100</v>
      </c>
      <c r="I21" s="1070">
        <v>4400</v>
      </c>
      <c r="J21" s="1070">
        <v>4300</v>
      </c>
      <c r="K21" s="1070">
        <v>3700</v>
      </c>
      <c r="L21" s="1070">
        <v>4133</v>
      </c>
      <c r="M21" s="1068">
        <v>4767</v>
      </c>
      <c r="N21" s="1068">
        <v>4133</v>
      </c>
      <c r="O21" s="1068">
        <v>4533</v>
      </c>
      <c r="P21" s="1068">
        <v>3633</v>
      </c>
      <c r="Q21" s="1068">
        <v>4333</v>
      </c>
      <c r="R21" s="1068">
        <v>4500</v>
      </c>
      <c r="S21" s="1068">
        <v>4533</v>
      </c>
      <c r="T21" s="1068">
        <v>4933</v>
      </c>
      <c r="U21" s="1073">
        <v>5500</v>
      </c>
      <c r="V21" s="1073">
        <v>6000</v>
      </c>
      <c r="W21" s="1073">
        <v>7000</v>
      </c>
      <c r="X21" s="1073">
        <v>7500</v>
      </c>
      <c r="Y21" s="1073">
        <v>8000</v>
      </c>
      <c r="Z21" s="1073">
        <v>8500</v>
      </c>
      <c r="AA21" s="1073">
        <v>8500</v>
      </c>
      <c r="AB21" s="1073">
        <v>7200</v>
      </c>
      <c r="AC21" s="1069">
        <v>6750</v>
      </c>
      <c r="AD21" s="1069">
        <v>6500</v>
      </c>
      <c r="AE21" s="1069">
        <v>6800</v>
      </c>
      <c r="AF21" s="1069">
        <v>6933.333333333333</v>
      </c>
      <c r="AG21" s="1068"/>
      <c r="AH21" s="1068">
        <f t="shared" si="1"/>
        <v>133.33333333333303</v>
      </c>
      <c r="AI21" s="1067"/>
    </row>
    <row r="22" spans="1:35" s="1010" customFormat="1" outlineLevel="4">
      <c r="A22" s="999"/>
      <c r="B22" s="999"/>
      <c r="C22" s="999"/>
      <c r="D22" s="1015">
        <f>+D21+1</f>
        <v>14</v>
      </c>
      <c r="E22" s="1017" t="s">
        <v>2030</v>
      </c>
      <c r="F22" s="1046">
        <f>+'[10]7'!$P$25+'[10]7'!$P$26</f>
        <v>62361.733350000002</v>
      </c>
      <c r="G22" s="987">
        <f t="shared" si="3"/>
        <v>1.2593068727644588E-2</v>
      </c>
      <c r="H22" s="1070">
        <v>2500</v>
      </c>
      <c r="I22" s="1070">
        <v>3467</v>
      </c>
      <c r="J22" s="1070">
        <v>2600</v>
      </c>
      <c r="K22" s="1070">
        <v>2933</v>
      </c>
      <c r="L22" s="1070">
        <v>3367</v>
      </c>
      <c r="M22" s="1068">
        <v>3567</v>
      </c>
      <c r="N22" s="1068">
        <v>3033</v>
      </c>
      <c r="O22" s="1068">
        <v>3567</v>
      </c>
      <c r="P22" s="1068">
        <v>2767</v>
      </c>
      <c r="Q22" s="1068">
        <v>2767</v>
      </c>
      <c r="R22" s="1068">
        <v>2767</v>
      </c>
      <c r="S22" s="1068">
        <v>3400</v>
      </c>
      <c r="T22" s="1068">
        <v>3533</v>
      </c>
      <c r="U22" s="1073">
        <v>3800</v>
      </c>
      <c r="V22" s="1073">
        <v>4600</v>
      </c>
      <c r="W22" s="1073">
        <v>5300</v>
      </c>
      <c r="X22" s="1073">
        <v>5600</v>
      </c>
      <c r="Y22" s="1073">
        <v>5600</v>
      </c>
      <c r="Z22" s="1073">
        <v>6200</v>
      </c>
      <c r="AA22" s="1073">
        <v>6200</v>
      </c>
      <c r="AB22" s="1073">
        <v>5500</v>
      </c>
      <c r="AC22" s="1069">
        <v>4650</v>
      </c>
      <c r="AD22" s="1069">
        <v>4550</v>
      </c>
      <c r="AE22" s="1069">
        <v>5166.666666666667</v>
      </c>
      <c r="AF22" s="1069">
        <v>5500</v>
      </c>
      <c r="AG22" s="1068"/>
      <c r="AH22" s="1068">
        <f t="shared" si="1"/>
        <v>333.33333333333303</v>
      </c>
      <c r="AI22" s="1067"/>
    </row>
    <row r="23" spans="1:35" s="1010" customFormat="1" outlineLevel="4">
      <c r="A23" s="999"/>
      <c r="B23" s="999"/>
      <c r="C23" s="999"/>
      <c r="D23" s="1015">
        <f>+D22+1</f>
        <v>15</v>
      </c>
      <c r="E23" s="1017" t="s">
        <v>2029</v>
      </c>
      <c r="F23" s="1046">
        <f>+'[10]7'!$P$24</f>
        <v>5602.5505199999998</v>
      </c>
      <c r="G23" s="987">
        <f t="shared" si="3"/>
        <v>1.1313557202216689E-3</v>
      </c>
      <c r="H23" s="1070">
        <v>2350</v>
      </c>
      <c r="I23" s="1070">
        <v>3200</v>
      </c>
      <c r="J23" s="1070">
        <v>3100</v>
      </c>
      <c r="K23" s="1070">
        <v>2700</v>
      </c>
      <c r="L23" s="1070">
        <v>2800</v>
      </c>
      <c r="M23" s="1068">
        <v>2800</v>
      </c>
      <c r="N23" s="1068">
        <v>2633</v>
      </c>
      <c r="O23" s="1068">
        <v>2633</v>
      </c>
      <c r="P23" s="1068">
        <v>2367</v>
      </c>
      <c r="Q23" s="1068">
        <v>2600</v>
      </c>
      <c r="R23" s="1068">
        <v>2767</v>
      </c>
      <c r="S23" s="1068">
        <v>2767</v>
      </c>
      <c r="T23" s="1068">
        <v>3233</v>
      </c>
      <c r="U23" s="1073">
        <v>3300</v>
      </c>
      <c r="V23" s="1073">
        <v>3800</v>
      </c>
      <c r="W23" s="1073">
        <v>5600</v>
      </c>
      <c r="X23" s="1073">
        <v>5800</v>
      </c>
      <c r="Y23" s="1073">
        <v>5800</v>
      </c>
      <c r="Z23" s="1073">
        <v>5900</v>
      </c>
      <c r="AA23" s="1073">
        <v>6000</v>
      </c>
      <c r="AB23" s="1073">
        <v>5200</v>
      </c>
      <c r="AC23" s="1069">
        <v>4800</v>
      </c>
      <c r="AD23" s="1069">
        <v>4800</v>
      </c>
      <c r="AE23" s="1069">
        <v>5100</v>
      </c>
      <c r="AF23" s="1069">
        <v>5250</v>
      </c>
      <c r="AG23" s="1068"/>
      <c r="AH23" s="1068">
        <f t="shared" si="1"/>
        <v>150</v>
      </c>
      <c r="AI23" s="1067"/>
    </row>
    <row r="24" spans="1:35" s="1010" customFormat="1" outlineLevel="4">
      <c r="A24" s="999"/>
      <c r="B24" s="999"/>
      <c r="C24" s="999"/>
      <c r="D24" s="1015">
        <f>+D23+1</f>
        <v>16</v>
      </c>
      <c r="E24" s="1017" t="s">
        <v>2028</v>
      </c>
      <c r="F24" s="1046">
        <f>+'[10]7'!$P$33+'[10]7'!$P$37</f>
        <v>34097.29</v>
      </c>
      <c r="G24" s="987">
        <f t="shared" si="3"/>
        <v>6.8854647446458207E-3</v>
      </c>
      <c r="H24" s="1070">
        <v>1400</v>
      </c>
      <c r="I24" s="1070">
        <v>1500</v>
      </c>
      <c r="J24" s="1070">
        <v>1500</v>
      </c>
      <c r="K24" s="1070">
        <v>1200</v>
      </c>
      <c r="L24" s="1070">
        <v>1200</v>
      </c>
      <c r="M24" s="1068">
        <v>1500</v>
      </c>
      <c r="N24" s="1068">
        <v>1300</v>
      </c>
      <c r="O24" s="1068">
        <v>1500</v>
      </c>
      <c r="P24" s="1068">
        <v>1200</v>
      </c>
      <c r="Q24" s="1068">
        <v>1400</v>
      </c>
      <c r="R24" s="1068">
        <v>1500</v>
      </c>
      <c r="S24" s="1068">
        <v>1533</v>
      </c>
      <c r="T24" s="1068">
        <v>1667</v>
      </c>
      <c r="U24" s="1073">
        <v>1800</v>
      </c>
      <c r="V24" s="1073">
        <v>1800</v>
      </c>
      <c r="W24" s="1073">
        <v>2500</v>
      </c>
      <c r="X24" s="1073">
        <v>2600</v>
      </c>
      <c r="Y24" s="1073">
        <v>2600</v>
      </c>
      <c r="Z24" s="1073">
        <v>2500</v>
      </c>
      <c r="AA24" s="1073">
        <v>2500</v>
      </c>
      <c r="AB24" s="1073">
        <v>2300</v>
      </c>
      <c r="AC24" s="1069">
        <v>2250</v>
      </c>
      <c r="AD24" s="1069">
        <v>2250</v>
      </c>
      <c r="AE24" s="1069">
        <v>2250</v>
      </c>
      <c r="AF24" s="1069">
        <v>2300</v>
      </c>
      <c r="AG24" s="1068"/>
      <c r="AH24" s="1068">
        <f t="shared" si="1"/>
        <v>50</v>
      </c>
      <c r="AI24" s="1067"/>
    </row>
    <row r="25" spans="1:35" s="1010" customFormat="1" outlineLevel="4">
      <c r="A25" s="999"/>
      <c r="B25" s="999"/>
      <c r="C25" s="999"/>
      <c r="D25" s="1015">
        <f>+D24+1</f>
        <v>17</v>
      </c>
      <c r="E25" s="1017" t="s">
        <v>2027</v>
      </c>
      <c r="F25" s="1046">
        <f>+'[10]7'!$P$34</f>
        <v>31059.157799999997</v>
      </c>
      <c r="G25" s="987">
        <f t="shared" si="3"/>
        <v>6.2719569804606532E-3</v>
      </c>
      <c r="H25" s="1070">
        <v>4400</v>
      </c>
      <c r="I25" s="1070">
        <v>4333</v>
      </c>
      <c r="J25" s="1070">
        <v>4600</v>
      </c>
      <c r="K25" s="1070">
        <v>4533</v>
      </c>
      <c r="L25" s="1070">
        <v>4500</v>
      </c>
      <c r="M25" s="1068">
        <v>4600</v>
      </c>
      <c r="N25" s="1068">
        <v>4600</v>
      </c>
      <c r="O25" s="1068">
        <v>4533</v>
      </c>
      <c r="P25" s="1068">
        <v>4533</v>
      </c>
      <c r="Q25" s="1068">
        <v>4700</v>
      </c>
      <c r="R25" s="1068">
        <v>4700</v>
      </c>
      <c r="S25" s="1068">
        <v>5067</v>
      </c>
      <c r="T25" s="1068">
        <v>5333</v>
      </c>
      <c r="U25" s="1073">
        <v>5500</v>
      </c>
      <c r="V25" s="1073">
        <v>6000</v>
      </c>
      <c r="W25" s="1073">
        <v>6800</v>
      </c>
      <c r="X25" s="1073">
        <v>7000</v>
      </c>
      <c r="Y25" s="1073">
        <v>7500</v>
      </c>
      <c r="Z25" s="1073">
        <v>8000</v>
      </c>
      <c r="AA25" s="1073">
        <v>8000</v>
      </c>
      <c r="AB25" s="1073">
        <v>7500</v>
      </c>
      <c r="AC25" s="1069">
        <v>7000</v>
      </c>
      <c r="AD25" s="1069">
        <v>7000</v>
      </c>
      <c r="AE25" s="1069">
        <v>7233.333333333333</v>
      </c>
      <c r="AF25" s="1069">
        <v>7566.666666666667</v>
      </c>
      <c r="AG25" s="1068"/>
      <c r="AH25" s="1068">
        <f t="shared" si="1"/>
        <v>333.33333333333394</v>
      </c>
      <c r="AI25" s="1067"/>
    </row>
    <row r="26" spans="1:35" s="1010" customFormat="1" outlineLevel="4">
      <c r="A26" s="999"/>
      <c r="B26" s="999"/>
      <c r="C26" s="999"/>
      <c r="D26" s="1015">
        <v>17</v>
      </c>
      <c r="E26" s="1045" t="s">
        <v>2026</v>
      </c>
      <c r="F26" s="1046">
        <f>+'[10]7'!$P$28+SUM('[10]7'!$P$29:$P$30)+SUM('[10]7'!$P$31:$P$32)</f>
        <v>2229.5878000000002</v>
      </c>
      <c r="G26" s="987">
        <f t="shared" si="3"/>
        <v>4.5023367522734032E-4</v>
      </c>
      <c r="H26" s="1070">
        <v>3467</v>
      </c>
      <c r="I26" s="1070">
        <v>3600</v>
      </c>
      <c r="J26" s="1070">
        <v>3833</v>
      </c>
      <c r="K26" s="1070">
        <v>3833</v>
      </c>
      <c r="L26" s="1070">
        <v>3833</v>
      </c>
      <c r="M26" s="1068">
        <v>3700</v>
      </c>
      <c r="N26" s="1068">
        <v>3700</v>
      </c>
      <c r="O26" s="1068">
        <v>3700</v>
      </c>
      <c r="P26" s="1068">
        <v>3700</v>
      </c>
      <c r="Q26" s="1068">
        <v>3733</v>
      </c>
      <c r="R26" s="1068">
        <v>3733</v>
      </c>
      <c r="S26" s="1068">
        <v>3867</v>
      </c>
      <c r="T26" s="1068">
        <v>3733</v>
      </c>
      <c r="U26" s="1073">
        <v>3800</v>
      </c>
      <c r="V26" s="1073">
        <v>4000</v>
      </c>
      <c r="W26" s="1073">
        <v>4000</v>
      </c>
      <c r="X26" s="1073">
        <v>4000</v>
      </c>
      <c r="Y26" s="1073">
        <v>4000</v>
      </c>
      <c r="Z26" s="1073">
        <v>4200</v>
      </c>
      <c r="AA26" s="1073">
        <v>4200</v>
      </c>
      <c r="AB26" s="1073">
        <v>4000</v>
      </c>
      <c r="AC26" s="1069">
        <v>4000</v>
      </c>
      <c r="AD26" s="1069">
        <v>4000</v>
      </c>
      <c r="AE26" s="1069">
        <v>3866.6666666666665</v>
      </c>
      <c r="AF26" s="1069">
        <v>3933.3333333333335</v>
      </c>
      <c r="AG26" s="1068"/>
      <c r="AH26" s="1068">
        <f t="shared" si="1"/>
        <v>66.66666666666697</v>
      </c>
      <c r="AI26" s="1067"/>
    </row>
    <row r="27" spans="1:35" s="1010" customFormat="1" outlineLevel="4">
      <c r="A27" s="999"/>
      <c r="B27" s="999"/>
      <c r="C27" s="999"/>
      <c r="D27" s="1015">
        <v>18</v>
      </c>
      <c r="E27" s="1026" t="s">
        <v>2025</v>
      </c>
      <c r="F27" s="1046">
        <f>SUM('[10]7'!$P$35:$P$36)+SUM('[10]7'!$P$38:$P$41)</f>
        <v>4152.3881500000007</v>
      </c>
      <c r="G27" s="987">
        <f t="shared" si="3"/>
        <v>8.3851597041612654E-4</v>
      </c>
      <c r="H27" s="1068">
        <v>583</v>
      </c>
      <c r="I27" s="1068">
        <v>583</v>
      </c>
      <c r="J27" s="1068">
        <v>583</v>
      </c>
      <c r="K27" s="1068">
        <v>583</v>
      </c>
      <c r="L27" s="1068">
        <v>583</v>
      </c>
      <c r="M27" s="1068">
        <v>583</v>
      </c>
      <c r="N27" s="1068">
        <v>583</v>
      </c>
      <c r="O27" s="1068">
        <v>583</v>
      </c>
      <c r="P27" s="1068">
        <v>583</v>
      </c>
      <c r="Q27" s="1068">
        <v>583</v>
      </c>
      <c r="R27" s="1068">
        <v>583</v>
      </c>
      <c r="S27" s="1068">
        <v>583</v>
      </c>
      <c r="T27" s="1068">
        <v>583</v>
      </c>
      <c r="U27" s="1073">
        <v>600</v>
      </c>
      <c r="V27" s="1073">
        <v>650</v>
      </c>
      <c r="W27" s="1073">
        <v>700</v>
      </c>
      <c r="X27" s="1073">
        <v>700</v>
      </c>
      <c r="Y27" s="1073">
        <v>700</v>
      </c>
      <c r="Z27" s="1073">
        <v>750</v>
      </c>
      <c r="AA27" s="1073">
        <v>750</v>
      </c>
      <c r="AB27" s="1073">
        <v>700</v>
      </c>
      <c r="AC27" s="1069">
        <v>750</v>
      </c>
      <c r="AD27" s="1069">
        <v>800</v>
      </c>
      <c r="AE27" s="1069">
        <v>800</v>
      </c>
      <c r="AF27" s="1069">
        <v>783.33333333333337</v>
      </c>
      <c r="AG27" s="1068"/>
      <c r="AH27" s="1068">
        <f t="shared" si="1"/>
        <v>-16.666666666666629</v>
      </c>
      <c r="AI27" s="1067"/>
    </row>
    <row r="28" spans="1:35" outlineLevel="3">
      <c r="A28" s="999"/>
      <c r="B28" s="1043">
        <v>3</v>
      </c>
      <c r="C28" s="1956" t="s">
        <v>2024</v>
      </c>
      <c r="D28" s="1956"/>
      <c r="E28" s="1956"/>
      <c r="F28" s="998">
        <f>SUM(F29:F34)</f>
        <v>143640.08726</v>
      </c>
      <c r="G28" s="997">
        <f>SUM(G29:G34)</f>
        <v>2.9006081033025766E-2</v>
      </c>
      <c r="H28" s="1051"/>
      <c r="I28" s="1051"/>
      <c r="J28" s="1051"/>
      <c r="K28" s="1051"/>
      <c r="L28" s="1051"/>
      <c r="M28" s="1068"/>
      <c r="N28" s="1068"/>
      <c r="O28" s="1068"/>
      <c r="P28" s="1068"/>
      <c r="Q28" s="1068"/>
      <c r="R28" s="1068"/>
      <c r="S28" s="1068"/>
      <c r="T28" s="1068"/>
      <c r="U28" s="705"/>
      <c r="V28" s="705"/>
      <c r="W28" s="705"/>
      <c r="X28" s="705"/>
      <c r="Y28" s="705"/>
      <c r="Z28" s="705"/>
      <c r="AA28" s="705"/>
      <c r="AB28" s="705"/>
      <c r="AC28" s="1069"/>
      <c r="AD28" s="1069"/>
      <c r="AE28" s="1069"/>
      <c r="AF28" s="1069"/>
      <c r="AG28" s="1068"/>
      <c r="AH28" s="1068">
        <f t="shared" si="1"/>
        <v>0</v>
      </c>
    </row>
    <row r="29" spans="1:35" s="1010" customFormat="1" outlineLevel="4">
      <c r="A29" s="999"/>
      <c r="B29" s="999"/>
      <c r="C29" s="999"/>
      <c r="D29" s="1015">
        <v>19</v>
      </c>
      <c r="E29" s="1017" t="s">
        <v>2023</v>
      </c>
      <c r="F29" s="1051">
        <f>('[10]7'!$P$42+SUM('[10]7'!$P$52:$P$53,'[10]7'!$P$56)+'[10]7'!$P$54)*0.5</f>
        <v>59465.962124499994</v>
      </c>
      <c r="G29" s="987">
        <f t="shared" ref="G29:G34" si="4">+F29/$F$332</f>
        <v>1.2008308745788548E-2</v>
      </c>
      <c r="H29" s="1070">
        <v>1000</v>
      </c>
      <c r="I29" s="1070">
        <v>1300</v>
      </c>
      <c r="J29" s="1070">
        <v>1200</v>
      </c>
      <c r="K29" s="1070">
        <v>1000</v>
      </c>
      <c r="L29" s="1070">
        <v>1000</v>
      </c>
      <c r="M29" s="1068">
        <v>800</v>
      </c>
      <c r="N29" s="1068">
        <v>600</v>
      </c>
      <c r="O29" s="1068">
        <v>600</v>
      </c>
      <c r="P29" s="1068">
        <v>600</v>
      </c>
      <c r="Q29" s="1068">
        <v>600</v>
      </c>
      <c r="R29" s="1068">
        <v>900</v>
      </c>
      <c r="S29" s="1068">
        <v>967</v>
      </c>
      <c r="T29" s="1068">
        <v>1200</v>
      </c>
      <c r="U29" s="1073">
        <v>1300</v>
      </c>
      <c r="V29" s="1073">
        <v>1300</v>
      </c>
      <c r="W29" s="1073">
        <v>1300</v>
      </c>
      <c r="X29" s="1073">
        <v>1100</v>
      </c>
      <c r="Y29" s="1073">
        <v>1000</v>
      </c>
      <c r="Z29" s="1073">
        <v>800</v>
      </c>
      <c r="AA29" s="1073">
        <v>600</v>
      </c>
      <c r="AB29" s="1069">
        <v>533</v>
      </c>
      <c r="AC29" s="1069">
        <v>600</v>
      </c>
      <c r="AD29" s="1069">
        <v>800</v>
      </c>
      <c r="AE29" s="1069">
        <v>1100</v>
      </c>
      <c r="AF29" s="1069">
        <v>1200</v>
      </c>
      <c r="AG29" s="1068"/>
      <c r="AH29" s="1068">
        <f t="shared" si="1"/>
        <v>100</v>
      </c>
      <c r="AI29" s="1067"/>
    </row>
    <row r="30" spans="1:35" s="1010" customFormat="1" outlineLevel="4">
      <c r="A30" s="999"/>
      <c r="B30" s="999"/>
      <c r="C30" s="999"/>
      <c r="D30" s="1015">
        <f>+D29+1</f>
        <v>20</v>
      </c>
      <c r="E30" s="1017" t="s">
        <v>2022</v>
      </c>
      <c r="F30" s="1051">
        <f>('[10]7'!$P$42+SUM('[10]7'!$P$52:$P$53,'[10]7'!$P$56)+'[10]7'!$P$54)*0.5</f>
        <v>59465.962124499994</v>
      </c>
      <c r="G30" s="987">
        <f t="shared" si="4"/>
        <v>1.2008308745788548E-2</v>
      </c>
      <c r="H30" s="1070">
        <v>1733</v>
      </c>
      <c r="I30" s="1070">
        <v>1733</v>
      </c>
      <c r="J30" s="1070">
        <v>1733</v>
      </c>
      <c r="K30" s="1070">
        <v>1733</v>
      </c>
      <c r="L30" s="1070">
        <v>1733</v>
      </c>
      <c r="M30" s="1068">
        <v>1733</v>
      </c>
      <c r="N30" s="1068">
        <v>1767</v>
      </c>
      <c r="O30" s="1068">
        <v>1767</v>
      </c>
      <c r="P30" s="1068">
        <v>1767</v>
      </c>
      <c r="Q30" s="1068">
        <v>1767</v>
      </c>
      <c r="R30" s="1068">
        <v>1783</v>
      </c>
      <c r="S30" s="1068">
        <v>1783</v>
      </c>
      <c r="T30" s="1068">
        <v>1767</v>
      </c>
      <c r="U30" s="1073">
        <v>1800</v>
      </c>
      <c r="V30" s="1073">
        <v>1800</v>
      </c>
      <c r="W30" s="1073">
        <v>1800</v>
      </c>
      <c r="X30" s="1073">
        <v>1800</v>
      </c>
      <c r="Y30" s="1073">
        <v>1800</v>
      </c>
      <c r="Z30" s="1073">
        <v>1700</v>
      </c>
      <c r="AA30" s="1073">
        <v>1700</v>
      </c>
      <c r="AB30" s="1069">
        <v>1667</v>
      </c>
      <c r="AC30" s="1069">
        <v>1700</v>
      </c>
      <c r="AD30" s="1069">
        <v>1700</v>
      </c>
      <c r="AE30" s="1069">
        <v>1750</v>
      </c>
      <c r="AF30" s="1069">
        <v>1800</v>
      </c>
      <c r="AG30" s="1068"/>
      <c r="AH30" s="1068">
        <f t="shared" si="1"/>
        <v>50</v>
      </c>
      <c r="AI30" s="1067"/>
    </row>
    <row r="31" spans="1:35" s="1010" customFormat="1" outlineLevel="4">
      <c r="A31" s="999"/>
      <c r="B31" s="999"/>
      <c r="C31" s="999"/>
      <c r="D31" s="1015">
        <f>+D30+1</f>
        <v>21</v>
      </c>
      <c r="E31" s="1017" t="s">
        <v>2021</v>
      </c>
      <c r="F31" s="1046">
        <f>+'[10]7'!$P$43+'[10]7'!$P$46</f>
        <v>8298.2752</v>
      </c>
      <c r="G31" s="987">
        <f t="shared" si="4"/>
        <v>1.6757191357720436E-3</v>
      </c>
      <c r="H31" s="873">
        <v>1000</v>
      </c>
      <c r="I31" s="1084">
        <v>1500</v>
      </c>
      <c r="J31" s="873">
        <v>1400</v>
      </c>
      <c r="K31" s="1070">
        <v>1233</v>
      </c>
      <c r="L31" s="1070">
        <v>1233</v>
      </c>
      <c r="M31" s="1068">
        <v>1100</v>
      </c>
      <c r="N31" s="1068">
        <v>833</v>
      </c>
      <c r="O31" s="1068">
        <v>800</v>
      </c>
      <c r="P31" s="1068">
        <v>800</v>
      </c>
      <c r="Q31" s="1068">
        <v>800</v>
      </c>
      <c r="R31" s="1068">
        <v>933</v>
      </c>
      <c r="S31" s="1068">
        <v>933</v>
      </c>
      <c r="T31" s="1068">
        <v>1000</v>
      </c>
      <c r="U31" s="1073">
        <v>1000</v>
      </c>
      <c r="V31" s="1073">
        <v>1100</v>
      </c>
      <c r="W31" s="1073">
        <v>1000</v>
      </c>
      <c r="X31" s="1073">
        <v>1000</v>
      </c>
      <c r="Y31" s="1073">
        <v>1000</v>
      </c>
      <c r="Z31" s="1073">
        <v>1000</v>
      </c>
      <c r="AA31" s="1073">
        <v>1000</v>
      </c>
      <c r="AB31" s="1069">
        <v>1133</v>
      </c>
      <c r="AC31" s="1069">
        <v>1200</v>
      </c>
      <c r="AD31" s="1069">
        <v>1200</v>
      </c>
      <c r="AE31" s="1069">
        <v>1333.3333333333333</v>
      </c>
      <c r="AF31" s="1069">
        <v>1433.3333333333333</v>
      </c>
      <c r="AG31" s="1068"/>
      <c r="AH31" s="1068">
        <f t="shared" si="1"/>
        <v>100</v>
      </c>
      <c r="AI31" s="1067"/>
    </row>
    <row r="32" spans="1:35" s="1010" customFormat="1" outlineLevel="4">
      <c r="A32" s="999"/>
      <c r="B32" s="999"/>
      <c r="C32" s="999"/>
      <c r="D32" s="1015">
        <f>+D31+1</f>
        <v>22</v>
      </c>
      <c r="E32" s="1017" t="s">
        <v>2020</v>
      </c>
      <c r="F32" s="1046">
        <f>+'[10]7'!$P$45+SUM('[10]7'!$P$48:$P$51)</f>
        <v>2305.2005600000002</v>
      </c>
      <c r="G32" s="987">
        <f t="shared" si="4"/>
        <v>4.6550260109286701E-4</v>
      </c>
      <c r="H32" s="1070">
        <v>4900</v>
      </c>
      <c r="I32" s="1070">
        <v>5000</v>
      </c>
      <c r="J32" s="1070">
        <v>5233</v>
      </c>
      <c r="K32" s="1070">
        <v>4767</v>
      </c>
      <c r="L32" s="1070">
        <v>4600</v>
      </c>
      <c r="M32" s="1068">
        <v>4733</v>
      </c>
      <c r="N32" s="1068">
        <v>4667</v>
      </c>
      <c r="O32" s="1068">
        <v>4833</v>
      </c>
      <c r="P32" s="1068">
        <v>4833</v>
      </c>
      <c r="Q32" s="1068">
        <v>4833</v>
      </c>
      <c r="R32" s="1068">
        <v>4833</v>
      </c>
      <c r="S32" s="1068">
        <v>5333</v>
      </c>
      <c r="T32" s="1068">
        <v>5333</v>
      </c>
      <c r="U32" s="1073">
        <v>5500</v>
      </c>
      <c r="V32" s="1073">
        <v>6000</v>
      </c>
      <c r="W32" s="1073">
        <v>5500</v>
      </c>
      <c r="X32" s="1073">
        <v>5500</v>
      </c>
      <c r="Y32" s="1073">
        <v>5500</v>
      </c>
      <c r="Z32" s="1073">
        <v>5500</v>
      </c>
      <c r="AA32" s="1073">
        <v>5000</v>
      </c>
      <c r="AB32" s="1073">
        <v>5000</v>
      </c>
      <c r="AC32" s="1069">
        <v>5000</v>
      </c>
      <c r="AD32" s="1069">
        <v>5000</v>
      </c>
      <c r="AE32" s="1069">
        <v>5500</v>
      </c>
      <c r="AF32" s="1069">
        <v>5833.333333333333</v>
      </c>
      <c r="AG32" s="1068"/>
      <c r="AH32" s="1068">
        <f t="shared" si="1"/>
        <v>333.33333333333303</v>
      </c>
      <c r="AI32" s="1067"/>
    </row>
    <row r="33" spans="1:35" s="1010" customFormat="1" outlineLevel="4">
      <c r="A33" s="999"/>
      <c r="B33" s="999"/>
      <c r="C33" s="999"/>
      <c r="D33" s="1015">
        <v>23</v>
      </c>
      <c r="E33" s="1045" t="s">
        <v>2019</v>
      </c>
      <c r="F33" s="1046">
        <f>+'[10]7'!$P$47</f>
        <v>1737.8202509999999</v>
      </c>
      <c r="G33" s="987">
        <f t="shared" si="4"/>
        <v>3.5092818434520894E-4</v>
      </c>
      <c r="H33" s="1070">
        <v>1200</v>
      </c>
      <c r="I33" s="1070">
        <v>1450</v>
      </c>
      <c r="J33" s="1070">
        <v>1200</v>
      </c>
      <c r="K33" s="1070">
        <v>1200</v>
      </c>
      <c r="L33" s="1070">
        <v>1200</v>
      </c>
      <c r="M33" s="1068">
        <v>1200</v>
      </c>
      <c r="N33" s="1068">
        <v>1200</v>
      </c>
      <c r="O33" s="1068">
        <v>1000</v>
      </c>
      <c r="P33" s="1068">
        <v>1000</v>
      </c>
      <c r="Q33" s="1068">
        <v>1000</v>
      </c>
      <c r="R33" s="1068">
        <v>1100</v>
      </c>
      <c r="S33" s="1068">
        <v>1100</v>
      </c>
      <c r="T33" s="1068">
        <v>1100</v>
      </c>
      <c r="U33" s="1073">
        <v>1500</v>
      </c>
      <c r="V33" s="1073">
        <v>1600</v>
      </c>
      <c r="W33" s="1073">
        <v>1500</v>
      </c>
      <c r="X33" s="1073">
        <v>1300</v>
      </c>
      <c r="Y33" s="1073">
        <v>1200</v>
      </c>
      <c r="Z33" s="1073">
        <v>1000</v>
      </c>
      <c r="AA33" s="1073">
        <v>1000</v>
      </c>
      <c r="AB33" s="1073">
        <v>1000</v>
      </c>
      <c r="AC33" s="1069">
        <v>1000</v>
      </c>
      <c r="AD33" s="1069">
        <v>1100</v>
      </c>
      <c r="AE33" s="1069">
        <v>1300</v>
      </c>
      <c r="AF33" s="1069">
        <v>1433.3333333333333</v>
      </c>
      <c r="AG33" s="1068"/>
      <c r="AH33" s="1068">
        <f t="shared" si="1"/>
        <v>133.33333333333326</v>
      </c>
      <c r="AI33" s="1067"/>
    </row>
    <row r="34" spans="1:35" s="1010" customFormat="1" outlineLevel="4">
      <c r="A34" s="999"/>
      <c r="B34" s="999"/>
      <c r="C34" s="999"/>
      <c r="D34" s="1015">
        <f>+D33+1</f>
        <v>24</v>
      </c>
      <c r="E34" s="1017" t="s">
        <v>2018</v>
      </c>
      <c r="F34" s="1046">
        <f>+'[10]7'!$P$44+'[10]7'!$P$55</f>
        <v>12366.866999999998</v>
      </c>
      <c r="G34" s="987">
        <f t="shared" si="4"/>
        <v>2.4973136202385529E-3</v>
      </c>
      <c r="H34" s="1070">
        <v>265</v>
      </c>
      <c r="I34" s="1070">
        <v>265</v>
      </c>
      <c r="J34" s="1070">
        <v>250</v>
      </c>
      <c r="K34" s="1070">
        <v>250</v>
      </c>
      <c r="L34" s="1070">
        <v>250</v>
      </c>
      <c r="M34" s="1068">
        <v>250</v>
      </c>
      <c r="N34" s="1068">
        <v>230</v>
      </c>
      <c r="O34" s="1068">
        <v>230</v>
      </c>
      <c r="P34" s="1068">
        <v>200</v>
      </c>
      <c r="Q34" s="1068">
        <v>235</v>
      </c>
      <c r="R34" s="1068">
        <v>235</v>
      </c>
      <c r="S34" s="1068">
        <v>235</v>
      </c>
      <c r="T34" s="1068">
        <v>260</v>
      </c>
      <c r="U34" s="1073">
        <v>280</v>
      </c>
      <c r="V34" s="1073">
        <v>300</v>
      </c>
      <c r="W34" s="1073">
        <v>300</v>
      </c>
      <c r="X34" s="1073">
        <v>300</v>
      </c>
      <c r="Y34" s="1073">
        <v>300</v>
      </c>
      <c r="Z34" s="1073">
        <v>300</v>
      </c>
      <c r="AA34" s="1073">
        <v>300</v>
      </c>
      <c r="AB34" s="1073">
        <v>300</v>
      </c>
      <c r="AC34" s="1069">
        <v>300</v>
      </c>
      <c r="AD34" s="1069">
        <v>300</v>
      </c>
      <c r="AE34" s="1069">
        <v>323.33333333333331</v>
      </c>
      <c r="AF34" s="1069">
        <v>323.33333333333331</v>
      </c>
      <c r="AG34" s="1068"/>
      <c r="AH34" s="1068">
        <f t="shared" si="1"/>
        <v>0</v>
      </c>
      <c r="AI34" s="1067"/>
    </row>
    <row r="35" spans="1:35" outlineLevel="3">
      <c r="A35" s="999"/>
      <c r="B35" s="1043">
        <v>4</v>
      </c>
      <c r="C35" s="1956" t="s">
        <v>2017</v>
      </c>
      <c r="D35" s="1956"/>
      <c r="E35" s="1956"/>
      <c r="F35" s="998">
        <f>SUM(F36:F39)</f>
        <v>83288.638947999993</v>
      </c>
      <c r="G35" s="997">
        <f>SUM(G36:G39)</f>
        <v>1.6818960894135242E-2</v>
      </c>
      <c r="H35" s="1051"/>
      <c r="I35" s="1051"/>
      <c r="J35" s="1051"/>
      <c r="K35" s="1051"/>
      <c r="L35" s="1051"/>
      <c r="M35" s="1068"/>
      <c r="N35" s="1068"/>
      <c r="O35" s="1068"/>
      <c r="P35" s="1068"/>
      <c r="Q35" s="1068"/>
      <c r="R35" s="1068"/>
      <c r="S35" s="1068"/>
      <c r="T35" s="1068"/>
      <c r="U35" s="705"/>
      <c r="V35" s="705"/>
      <c r="W35" s="705"/>
      <c r="X35" s="705"/>
      <c r="Y35" s="705"/>
      <c r="Z35" s="705"/>
      <c r="AA35" s="705"/>
      <c r="AB35" s="705"/>
      <c r="AC35" s="1069"/>
      <c r="AD35" s="1069"/>
      <c r="AE35" s="1069"/>
      <c r="AF35" s="1069"/>
      <c r="AG35" s="1068"/>
      <c r="AH35" s="1068">
        <f t="shared" si="1"/>
        <v>0</v>
      </c>
    </row>
    <row r="36" spans="1:35" s="1010" customFormat="1" outlineLevel="4">
      <c r="A36" s="999"/>
      <c r="B36" s="999"/>
      <c r="C36" s="999"/>
      <c r="D36" s="1015">
        <f>+D34+1</f>
        <v>25</v>
      </c>
      <c r="E36" s="1017" t="s">
        <v>2016</v>
      </c>
      <c r="F36" s="1046">
        <f>+'[10]7'!$P$59+'[10]7'!$P$63</f>
        <v>42645.700999999994</v>
      </c>
      <c r="G36" s="987">
        <f>+F36/$F$332</f>
        <v>8.6116952621808646E-3</v>
      </c>
      <c r="H36" s="1070">
        <v>2400</v>
      </c>
      <c r="I36" s="1070">
        <v>2467</v>
      </c>
      <c r="J36" s="1070">
        <v>2567</v>
      </c>
      <c r="K36" s="1070">
        <v>2567</v>
      </c>
      <c r="L36" s="1070">
        <v>2567</v>
      </c>
      <c r="M36" s="1068">
        <v>2500</v>
      </c>
      <c r="N36" s="1068">
        <v>2500</v>
      </c>
      <c r="O36" s="1068">
        <v>2500</v>
      </c>
      <c r="P36" s="1068">
        <v>2567</v>
      </c>
      <c r="Q36" s="1068">
        <v>2633</v>
      </c>
      <c r="R36" s="1068">
        <v>2633</v>
      </c>
      <c r="S36" s="1068">
        <v>2633</v>
      </c>
      <c r="T36" s="1068">
        <v>2667</v>
      </c>
      <c r="U36" s="1073">
        <v>2700</v>
      </c>
      <c r="V36" s="1073">
        <v>2800</v>
      </c>
      <c r="W36" s="1073">
        <v>2800</v>
      </c>
      <c r="X36" s="1073">
        <v>2800</v>
      </c>
      <c r="Y36" s="1073">
        <v>2800</v>
      </c>
      <c r="Z36" s="1073">
        <v>2800</v>
      </c>
      <c r="AA36" s="1073">
        <v>2800</v>
      </c>
      <c r="AB36" s="1073">
        <v>2800</v>
      </c>
      <c r="AC36" s="1069">
        <v>2800</v>
      </c>
      <c r="AD36" s="1069">
        <v>2800</v>
      </c>
      <c r="AE36" s="1069">
        <v>2733.3333333333335</v>
      </c>
      <c r="AF36" s="1069">
        <v>2766.6666666666665</v>
      </c>
      <c r="AG36" s="1068"/>
      <c r="AH36" s="1068">
        <f t="shared" si="1"/>
        <v>33.33333333333303</v>
      </c>
      <c r="AI36" s="1067"/>
    </row>
    <row r="37" spans="1:35" s="1010" customFormat="1" outlineLevel="4">
      <c r="A37" s="999"/>
      <c r="B37" s="999"/>
      <c r="C37" s="999"/>
      <c r="D37" s="1015">
        <f>+D36+1</f>
        <v>26</v>
      </c>
      <c r="E37" s="1017" t="s">
        <v>2015</v>
      </c>
      <c r="F37" s="1046">
        <f>+'[10]7'!$P$60+'[10]7'!$P$64</f>
        <v>1371.86069</v>
      </c>
      <c r="G37" s="987">
        <f>+F37/$F$332</f>
        <v>2.7702783463320657E-4</v>
      </c>
      <c r="H37" s="1070">
        <v>1567</v>
      </c>
      <c r="I37" s="1070">
        <v>1633</v>
      </c>
      <c r="J37" s="1070">
        <v>1567</v>
      </c>
      <c r="K37" s="1070">
        <v>1567</v>
      </c>
      <c r="L37" s="1070">
        <v>1567</v>
      </c>
      <c r="M37" s="1068">
        <v>1233</v>
      </c>
      <c r="N37" s="1068">
        <v>933</v>
      </c>
      <c r="O37" s="1068">
        <v>933</v>
      </c>
      <c r="P37" s="1068">
        <v>933</v>
      </c>
      <c r="Q37" s="1068">
        <v>933</v>
      </c>
      <c r="R37" s="1068">
        <v>933</v>
      </c>
      <c r="S37" s="1068">
        <v>933</v>
      </c>
      <c r="T37" s="1068">
        <v>1100</v>
      </c>
      <c r="U37" s="1073">
        <v>1200</v>
      </c>
      <c r="V37" s="1073">
        <v>1300</v>
      </c>
      <c r="W37" s="1073">
        <v>1500</v>
      </c>
      <c r="X37" s="1073">
        <v>1500</v>
      </c>
      <c r="Y37" s="1073">
        <v>1400</v>
      </c>
      <c r="Z37" s="1073">
        <v>1200</v>
      </c>
      <c r="AA37" s="1073">
        <v>1200</v>
      </c>
      <c r="AB37" s="1073">
        <v>1000</v>
      </c>
      <c r="AC37" s="1069">
        <v>1000</v>
      </c>
      <c r="AD37" s="1069">
        <v>1050</v>
      </c>
      <c r="AE37" s="1069">
        <v>1200</v>
      </c>
      <c r="AF37" s="1069">
        <v>1366.6666666666667</v>
      </c>
      <c r="AG37" s="1068"/>
      <c r="AH37" s="1068">
        <f t="shared" si="1"/>
        <v>166.66666666666674</v>
      </c>
      <c r="AI37" s="1067"/>
    </row>
    <row r="38" spans="1:35" s="1010" customFormat="1" outlineLevel="4">
      <c r="A38" s="999"/>
      <c r="B38" s="999"/>
      <c r="C38" s="999"/>
      <c r="D38" s="1015">
        <f>+D37+1</f>
        <v>27</v>
      </c>
      <c r="E38" s="1017" t="s">
        <v>2014</v>
      </c>
      <c r="F38" s="1046">
        <f>+'[10]7'!$P$62+'[10]7'!$P$61</f>
        <v>4576.9852580000006</v>
      </c>
      <c r="G38" s="987">
        <f>+F38/$F$332</f>
        <v>9.2425734217360558E-4</v>
      </c>
      <c r="H38" s="1070">
        <v>4333</v>
      </c>
      <c r="I38" s="1070">
        <v>4833</v>
      </c>
      <c r="J38" s="1070">
        <v>5433</v>
      </c>
      <c r="K38" s="1070">
        <v>5433</v>
      </c>
      <c r="L38" s="1070">
        <v>5000</v>
      </c>
      <c r="M38" s="1068">
        <v>4833</v>
      </c>
      <c r="N38" s="1068">
        <v>4833</v>
      </c>
      <c r="O38" s="1068">
        <v>4833</v>
      </c>
      <c r="P38" s="1068">
        <v>4833</v>
      </c>
      <c r="Q38" s="1068">
        <v>5167</v>
      </c>
      <c r="R38" s="1068">
        <v>5167</v>
      </c>
      <c r="S38" s="1068">
        <v>5167</v>
      </c>
      <c r="T38" s="1068">
        <v>5167</v>
      </c>
      <c r="U38" s="1073">
        <v>5200</v>
      </c>
      <c r="V38" s="1073">
        <v>5500</v>
      </c>
      <c r="W38" s="1073">
        <v>5000</v>
      </c>
      <c r="X38" s="1073">
        <v>5500</v>
      </c>
      <c r="Y38" s="1073">
        <v>5800</v>
      </c>
      <c r="Z38" s="1073">
        <v>6000</v>
      </c>
      <c r="AA38" s="1073">
        <v>5500</v>
      </c>
      <c r="AB38" s="1073">
        <v>5500</v>
      </c>
      <c r="AC38" s="1069">
        <v>5500</v>
      </c>
      <c r="AD38" s="1069">
        <v>5500</v>
      </c>
      <c r="AE38" s="1069">
        <v>6000</v>
      </c>
      <c r="AF38" s="1069">
        <v>6000</v>
      </c>
      <c r="AG38" s="1068"/>
      <c r="AH38" s="1068">
        <f t="shared" si="1"/>
        <v>0</v>
      </c>
      <c r="AI38" s="1067"/>
    </row>
    <row r="39" spans="1:35" s="1010" customFormat="1" outlineLevel="4">
      <c r="A39" s="999"/>
      <c r="B39" s="999"/>
      <c r="C39" s="999"/>
      <c r="D39" s="1015">
        <f>+D38+1</f>
        <v>28</v>
      </c>
      <c r="E39" s="1017" t="s">
        <v>2013</v>
      </c>
      <c r="F39" s="1046">
        <f>+'[10]7'!$P$57+'[10]7'!$P$58</f>
        <v>34694.091999999997</v>
      </c>
      <c r="G39" s="987">
        <f>+F39/$F$332</f>
        <v>7.0059804551475665E-3</v>
      </c>
      <c r="H39" s="1070">
        <v>2667</v>
      </c>
      <c r="I39" s="1070">
        <v>2633</v>
      </c>
      <c r="J39" s="1070">
        <v>2767</v>
      </c>
      <c r="K39" s="1070">
        <v>2667</v>
      </c>
      <c r="L39" s="1070">
        <v>2500</v>
      </c>
      <c r="M39" s="1068">
        <v>2467</v>
      </c>
      <c r="N39" s="1068">
        <v>2467</v>
      </c>
      <c r="O39" s="1068">
        <v>2467</v>
      </c>
      <c r="P39" s="1068">
        <v>2533</v>
      </c>
      <c r="Q39" s="1068">
        <v>2767</v>
      </c>
      <c r="R39" s="1068">
        <v>2767</v>
      </c>
      <c r="S39" s="1068">
        <v>2767</v>
      </c>
      <c r="T39" s="1068">
        <v>2767</v>
      </c>
      <c r="U39" s="1073">
        <v>3000</v>
      </c>
      <c r="V39" s="1073">
        <v>3200</v>
      </c>
      <c r="W39" s="1073">
        <v>3000</v>
      </c>
      <c r="X39" s="1073">
        <v>2800</v>
      </c>
      <c r="Y39" s="1073">
        <v>2800</v>
      </c>
      <c r="Z39" s="1073">
        <v>2800</v>
      </c>
      <c r="AA39" s="1073">
        <v>2800</v>
      </c>
      <c r="AB39" s="1073">
        <v>2800</v>
      </c>
      <c r="AC39" s="1069">
        <v>2866.6666666666665</v>
      </c>
      <c r="AD39" s="1069">
        <v>2866.6666666666665</v>
      </c>
      <c r="AE39" s="1069">
        <v>3000</v>
      </c>
      <c r="AF39" s="1069">
        <v>3000</v>
      </c>
      <c r="AG39" s="1068"/>
      <c r="AH39" s="1068">
        <f t="shared" si="1"/>
        <v>0</v>
      </c>
      <c r="AI39" s="1067"/>
    </row>
    <row r="40" spans="1:35" outlineLevel="3">
      <c r="A40" s="999"/>
      <c r="B40" s="1050">
        <v>5</v>
      </c>
      <c r="C40" s="1956" t="s">
        <v>2012</v>
      </c>
      <c r="D40" s="1956"/>
      <c r="E40" s="1956"/>
      <c r="F40" s="998">
        <f>SUM(F41:F44)</f>
        <v>38525.06601000001</v>
      </c>
      <c r="G40" s="997">
        <f>SUM(G41:G44)</f>
        <v>7.7795913926593007E-3</v>
      </c>
      <c r="H40" s="1051"/>
      <c r="I40" s="1051"/>
      <c r="J40" s="1051"/>
      <c r="K40" s="1051"/>
      <c r="L40" s="1051"/>
      <c r="M40" s="1068"/>
      <c r="N40" s="1068"/>
      <c r="O40" s="1068"/>
      <c r="P40" s="1068"/>
      <c r="Q40" s="1068"/>
      <c r="R40" s="1068"/>
      <c r="S40" s="1068"/>
      <c r="T40" s="1068"/>
      <c r="U40" s="705"/>
      <c r="V40" s="705"/>
      <c r="W40" s="705"/>
      <c r="X40" s="705"/>
      <c r="Y40" s="705"/>
      <c r="Z40" s="705"/>
      <c r="AA40" s="705"/>
      <c r="AB40" s="705"/>
      <c r="AC40" s="1069"/>
      <c r="AD40" s="1069"/>
      <c r="AE40" s="1069"/>
      <c r="AF40" s="1069"/>
      <c r="AG40" s="1068"/>
      <c r="AH40" s="1068">
        <f t="shared" si="1"/>
        <v>0</v>
      </c>
    </row>
    <row r="41" spans="1:35" s="1010" customFormat="1" outlineLevel="4">
      <c r="A41" s="999"/>
      <c r="B41" s="999"/>
      <c r="C41" s="999"/>
      <c r="D41" s="1015">
        <f>+D39+1</f>
        <v>29</v>
      </c>
      <c r="E41" s="1017" t="s">
        <v>2011</v>
      </c>
      <c r="F41" s="1046">
        <f>+'[10]7'!$P$65+SUM('[10]7'!$P$68:$P$69)</f>
        <v>24229.671780000004</v>
      </c>
      <c r="G41" s="987">
        <f>+F41/$F$332</f>
        <v>4.8928390149343181E-3</v>
      </c>
      <c r="H41" s="1070">
        <v>2000</v>
      </c>
      <c r="I41" s="1070">
        <v>2000</v>
      </c>
      <c r="J41" s="1070">
        <v>2500</v>
      </c>
      <c r="K41" s="1070">
        <v>2200</v>
      </c>
      <c r="L41" s="1070">
        <v>2500</v>
      </c>
      <c r="M41" s="1068">
        <v>2500</v>
      </c>
      <c r="N41" s="1068">
        <v>2500</v>
      </c>
      <c r="O41" s="1068">
        <v>2500</v>
      </c>
      <c r="P41" s="1068">
        <v>2500</v>
      </c>
      <c r="Q41" s="1068">
        <v>2500</v>
      </c>
      <c r="R41" s="1068">
        <v>2500</v>
      </c>
      <c r="S41" s="1068">
        <v>2500</v>
      </c>
      <c r="T41" s="1068">
        <v>2500</v>
      </c>
      <c r="U41" s="1073">
        <v>2500</v>
      </c>
      <c r="V41" s="1073">
        <v>2500</v>
      </c>
      <c r="W41" s="1073">
        <v>2500</v>
      </c>
      <c r="X41" s="1073">
        <v>2500</v>
      </c>
      <c r="Y41" s="1073">
        <v>2500</v>
      </c>
      <c r="Z41" s="1073">
        <v>2300</v>
      </c>
      <c r="AA41" s="1073">
        <v>2500</v>
      </c>
      <c r="AB41" s="1073">
        <v>2800</v>
      </c>
      <c r="AC41" s="1069">
        <v>2500</v>
      </c>
      <c r="AD41" s="1069">
        <v>2500</v>
      </c>
      <c r="AE41" s="1069">
        <v>2600</v>
      </c>
      <c r="AF41" s="1069">
        <v>2600</v>
      </c>
      <c r="AG41" s="1068"/>
      <c r="AH41" s="1068">
        <f t="shared" si="1"/>
        <v>0</v>
      </c>
      <c r="AI41" s="1067"/>
    </row>
    <row r="42" spans="1:35" s="1010" customFormat="1" outlineLevel="4">
      <c r="A42" s="999"/>
      <c r="B42" s="999"/>
      <c r="C42" s="999"/>
      <c r="D42" s="1015">
        <f>+D41+1</f>
        <v>30</v>
      </c>
      <c r="E42" s="1017" t="s">
        <v>2010</v>
      </c>
      <c r="F42" s="1046">
        <f>+'[10]7'!$P$66+SUM('[10]7'!$P$71:$P$73)</f>
        <v>9901.5568300000014</v>
      </c>
      <c r="G42" s="987">
        <f>+F42/$F$332</f>
        <v>1.9994791512777713E-3</v>
      </c>
      <c r="H42" s="1070">
        <v>2500</v>
      </c>
      <c r="I42" s="1070">
        <v>2500</v>
      </c>
      <c r="J42" s="1070">
        <v>2500</v>
      </c>
      <c r="K42" s="1070">
        <v>2067</v>
      </c>
      <c r="L42" s="1070">
        <v>2500</v>
      </c>
      <c r="M42" s="1068">
        <v>2500</v>
      </c>
      <c r="N42" s="1068">
        <v>2500</v>
      </c>
      <c r="O42" s="1068">
        <v>2500</v>
      </c>
      <c r="P42" s="1074">
        <v>2500</v>
      </c>
      <c r="Q42" s="1068">
        <v>2500</v>
      </c>
      <c r="R42" s="1074">
        <v>2500</v>
      </c>
      <c r="S42" s="1068">
        <v>2533</v>
      </c>
      <c r="T42" s="1068">
        <v>3067</v>
      </c>
      <c r="U42" s="1073">
        <v>3000</v>
      </c>
      <c r="V42" s="1073">
        <v>3000</v>
      </c>
      <c r="W42" s="1073">
        <v>3000</v>
      </c>
      <c r="X42" s="1073">
        <v>3500</v>
      </c>
      <c r="Y42" s="1073">
        <v>3500</v>
      </c>
      <c r="Z42" s="1073">
        <v>3000</v>
      </c>
      <c r="AA42" s="1073">
        <v>2800</v>
      </c>
      <c r="AB42" s="1073">
        <v>3000</v>
      </c>
      <c r="AC42" s="1069">
        <v>3600</v>
      </c>
      <c r="AD42" s="1069">
        <v>3600</v>
      </c>
      <c r="AE42" s="1069">
        <v>3600</v>
      </c>
      <c r="AF42" s="1069">
        <v>3666.6666666666665</v>
      </c>
      <c r="AG42" s="1068"/>
      <c r="AH42" s="1068">
        <f t="shared" si="1"/>
        <v>66.666666666666515</v>
      </c>
      <c r="AI42" s="1067"/>
    </row>
    <row r="43" spans="1:35" s="1010" customFormat="1" outlineLevel="4">
      <c r="A43" s="999"/>
      <c r="B43" s="999"/>
      <c r="C43" s="999"/>
      <c r="D43" s="1015">
        <f>+D42+1</f>
        <v>31</v>
      </c>
      <c r="E43" s="1017" t="s">
        <v>2009</v>
      </c>
      <c r="F43" s="1046">
        <f>+'[10]7'!$P$67</f>
        <v>2880.4218999999998</v>
      </c>
      <c r="G43" s="987">
        <f>+F43/$F$332</f>
        <v>5.8166040298673969E-4</v>
      </c>
      <c r="H43" s="1070">
        <v>2700</v>
      </c>
      <c r="I43" s="1070">
        <v>2700</v>
      </c>
      <c r="J43" s="1070">
        <v>3000</v>
      </c>
      <c r="K43" s="1070">
        <v>3000</v>
      </c>
      <c r="L43" s="1070">
        <v>3000</v>
      </c>
      <c r="M43" s="1068">
        <v>3500</v>
      </c>
      <c r="N43" s="1068">
        <v>3800</v>
      </c>
      <c r="O43" s="1068">
        <v>3500</v>
      </c>
      <c r="P43" s="1068">
        <v>3000</v>
      </c>
      <c r="Q43" s="1068">
        <v>3000</v>
      </c>
      <c r="R43" s="1068">
        <v>3000</v>
      </c>
      <c r="S43" s="1068">
        <v>3300</v>
      </c>
      <c r="T43" s="1068">
        <v>3433</v>
      </c>
      <c r="U43" s="1073">
        <v>4000</v>
      </c>
      <c r="V43" s="1073">
        <v>4500</v>
      </c>
      <c r="W43" s="1073">
        <v>4500</v>
      </c>
      <c r="X43" s="1073">
        <v>5000</v>
      </c>
      <c r="Y43" s="1073">
        <v>5000</v>
      </c>
      <c r="Z43" s="1073">
        <v>4500</v>
      </c>
      <c r="AA43" s="1073">
        <v>4200</v>
      </c>
      <c r="AB43" s="1073">
        <v>4000</v>
      </c>
      <c r="AC43" s="1069">
        <v>4500</v>
      </c>
      <c r="AD43" s="1069">
        <v>4500</v>
      </c>
      <c r="AE43" s="1069">
        <v>4333.333333333333</v>
      </c>
      <c r="AF43" s="1069">
        <v>4400</v>
      </c>
      <c r="AG43" s="1068"/>
      <c r="AH43" s="1068">
        <f t="shared" si="1"/>
        <v>66.66666666666697</v>
      </c>
      <c r="AI43" s="1067"/>
    </row>
    <row r="44" spans="1:35" s="1010" customFormat="1" outlineLevel="4">
      <c r="A44" s="999"/>
      <c r="B44" s="999"/>
      <c r="C44" s="999"/>
      <c r="D44" s="1015">
        <v>32</v>
      </c>
      <c r="E44" s="1045" t="s">
        <v>2008</v>
      </c>
      <c r="F44" s="1046">
        <f>+'[10]7'!$P$70</f>
        <v>1513.4155000000001</v>
      </c>
      <c r="G44" s="987">
        <f>+F44/$F$332</f>
        <v>3.0561282346047231E-4</v>
      </c>
      <c r="H44" s="1070">
        <v>500</v>
      </c>
      <c r="I44" s="1070">
        <v>500</v>
      </c>
      <c r="J44" s="1070">
        <v>500</v>
      </c>
      <c r="K44" s="1070">
        <v>500</v>
      </c>
      <c r="L44" s="1070">
        <v>500</v>
      </c>
      <c r="M44" s="1070">
        <v>500</v>
      </c>
      <c r="N44" s="1070">
        <v>500</v>
      </c>
      <c r="O44" s="1070">
        <v>500</v>
      </c>
      <c r="P44" s="1070">
        <v>500</v>
      </c>
      <c r="Q44" s="1070">
        <v>500</v>
      </c>
      <c r="R44" s="1070">
        <v>500</v>
      </c>
      <c r="S44" s="1070">
        <v>500</v>
      </c>
      <c r="T44" s="1070">
        <v>500</v>
      </c>
      <c r="U44" s="1070">
        <v>500</v>
      </c>
      <c r="V44" s="1073">
        <v>500</v>
      </c>
      <c r="W44" s="1073">
        <v>500</v>
      </c>
      <c r="X44" s="1073">
        <v>500</v>
      </c>
      <c r="Y44" s="1073">
        <v>500</v>
      </c>
      <c r="Z44" s="1073">
        <v>480</v>
      </c>
      <c r="AA44" s="1073">
        <v>500</v>
      </c>
      <c r="AB44" s="1073">
        <v>500</v>
      </c>
      <c r="AC44" s="1069">
        <v>600</v>
      </c>
      <c r="AD44" s="1069">
        <v>650</v>
      </c>
      <c r="AE44" s="1069">
        <v>656.66666666666663</v>
      </c>
      <c r="AF44" s="1069">
        <v>666.66666666666663</v>
      </c>
      <c r="AG44" s="1068"/>
      <c r="AH44" s="1068">
        <f t="shared" si="1"/>
        <v>10</v>
      </c>
      <c r="AI44" s="1067"/>
    </row>
    <row r="45" spans="1:35" outlineLevel="3">
      <c r="A45" s="999"/>
      <c r="B45" s="1050">
        <v>6</v>
      </c>
      <c r="C45" s="1956" t="s">
        <v>2007</v>
      </c>
      <c r="D45" s="1956"/>
      <c r="E45" s="1956"/>
      <c r="F45" s="998">
        <f>SUM(F46:F54)</f>
        <v>191753.54645320002</v>
      </c>
      <c r="G45" s="997">
        <f>SUM(G46:G54)</f>
        <v>3.8721912614296139E-2</v>
      </c>
      <c r="H45" s="1051"/>
      <c r="I45" s="1051"/>
      <c r="J45" s="1051"/>
      <c r="K45" s="1051"/>
      <c r="L45" s="1051"/>
      <c r="M45" s="1068"/>
      <c r="N45" s="1068"/>
      <c r="O45" s="1068"/>
      <c r="P45" s="1068"/>
      <c r="Q45" s="1068"/>
      <c r="R45" s="1068"/>
      <c r="S45" s="1068"/>
      <c r="T45" s="1068"/>
      <c r="U45" s="705"/>
      <c r="V45" s="705"/>
      <c r="W45" s="705"/>
      <c r="X45" s="705"/>
      <c r="Y45" s="705"/>
      <c r="Z45" s="705"/>
      <c r="AA45" s="705"/>
      <c r="AB45" s="705"/>
      <c r="AC45" s="1069"/>
      <c r="AD45" s="1069"/>
      <c r="AE45" s="1069"/>
      <c r="AF45" s="1069"/>
      <c r="AG45" s="1068"/>
      <c r="AH45" s="1068">
        <f t="shared" si="1"/>
        <v>0</v>
      </c>
    </row>
    <row r="46" spans="1:35" s="1010" customFormat="1" outlineLevel="4">
      <c r="A46" s="999"/>
      <c r="B46" s="999"/>
      <c r="C46" s="999"/>
      <c r="D46" s="1015">
        <v>33</v>
      </c>
      <c r="E46" s="1017" t="s">
        <v>2006</v>
      </c>
      <c r="F46" s="1046">
        <f>+'[10]7'!$P$74</f>
        <v>103613.178</v>
      </c>
      <c r="G46" s="987">
        <f t="shared" ref="G46:G54" si="5">+F46/$F$332</f>
        <v>2.0923213668878435E-2</v>
      </c>
      <c r="H46" s="1070">
        <v>683</v>
      </c>
      <c r="I46" s="1070">
        <v>683</v>
      </c>
      <c r="J46" s="1070">
        <v>767</v>
      </c>
      <c r="K46" s="1070">
        <v>717</v>
      </c>
      <c r="L46" s="1070">
        <v>817</v>
      </c>
      <c r="M46" s="1068">
        <v>633</v>
      </c>
      <c r="N46" s="1068">
        <v>767</v>
      </c>
      <c r="O46" s="1068">
        <v>717</v>
      </c>
      <c r="P46" s="1068">
        <v>717</v>
      </c>
      <c r="Q46" s="1068">
        <v>693</v>
      </c>
      <c r="R46" s="1068">
        <v>650</v>
      </c>
      <c r="S46" s="1068">
        <v>650</v>
      </c>
      <c r="T46" s="1068">
        <v>717</v>
      </c>
      <c r="U46" s="1073">
        <v>800</v>
      </c>
      <c r="V46" s="1073">
        <v>800</v>
      </c>
      <c r="W46" s="1073">
        <v>800</v>
      </c>
      <c r="X46" s="1073">
        <v>700</v>
      </c>
      <c r="Y46" s="1073">
        <v>700</v>
      </c>
      <c r="Z46" s="1073">
        <v>700</v>
      </c>
      <c r="AA46" s="1073">
        <v>700</v>
      </c>
      <c r="AB46" s="1073">
        <v>700</v>
      </c>
      <c r="AC46" s="1069">
        <v>700</v>
      </c>
      <c r="AD46" s="1069">
        <v>700</v>
      </c>
      <c r="AE46" s="1069">
        <v>683.33333333333337</v>
      </c>
      <c r="AF46" s="1069">
        <v>733.33333333333337</v>
      </c>
      <c r="AG46" s="1068"/>
      <c r="AH46" s="1068">
        <f t="shared" si="1"/>
        <v>50</v>
      </c>
      <c r="AI46" s="1067"/>
    </row>
    <row r="47" spans="1:35" s="1010" customFormat="1" outlineLevel="4">
      <c r="A47" s="999"/>
      <c r="B47" s="999"/>
      <c r="C47" s="999"/>
      <c r="D47" s="1015">
        <f t="shared" ref="D47:D52" si="6">+D46+1</f>
        <v>34</v>
      </c>
      <c r="E47" s="1017" t="s">
        <v>2005</v>
      </c>
      <c r="F47" s="1046">
        <f>+'[10]7'!$P$76-500</f>
        <v>10598.325400000002</v>
      </c>
      <c r="G47" s="987">
        <f t="shared" si="5"/>
        <v>2.1401816946151533E-3</v>
      </c>
      <c r="H47" s="1070">
        <v>1000</v>
      </c>
      <c r="I47" s="1070">
        <v>1233</v>
      </c>
      <c r="J47" s="1070">
        <v>1200</v>
      </c>
      <c r="K47" s="1070">
        <v>1100</v>
      </c>
      <c r="L47" s="1070">
        <v>967</v>
      </c>
      <c r="M47" s="1068">
        <v>767</v>
      </c>
      <c r="N47" s="1068">
        <v>767</v>
      </c>
      <c r="O47" s="1068">
        <v>717</v>
      </c>
      <c r="P47" s="1068">
        <v>733</v>
      </c>
      <c r="Q47" s="1068">
        <v>693</v>
      </c>
      <c r="R47" s="1068">
        <v>700</v>
      </c>
      <c r="S47" s="1068">
        <v>817</v>
      </c>
      <c r="T47" s="1068">
        <v>1067</v>
      </c>
      <c r="U47" s="1073">
        <v>1200</v>
      </c>
      <c r="V47" s="1073">
        <v>1200</v>
      </c>
      <c r="W47" s="1073">
        <v>1500</v>
      </c>
      <c r="X47" s="1073">
        <v>1200</v>
      </c>
      <c r="Y47" s="1073">
        <v>1200</v>
      </c>
      <c r="Z47" s="1073">
        <v>1500</v>
      </c>
      <c r="AA47" s="1073">
        <v>1200</v>
      </c>
      <c r="AB47" s="1073">
        <v>1400</v>
      </c>
      <c r="AC47" s="1069">
        <v>1500</v>
      </c>
      <c r="AD47" s="1069">
        <v>1400</v>
      </c>
      <c r="AE47" s="1069">
        <v>1400</v>
      </c>
      <c r="AF47" s="1069">
        <v>1466.6666666666667</v>
      </c>
      <c r="AG47" s="1068"/>
      <c r="AH47" s="1068">
        <f t="shared" si="1"/>
        <v>66.666666666666742</v>
      </c>
      <c r="AI47" s="1067"/>
    </row>
    <row r="48" spans="1:35" s="1010" customFormat="1" outlineLevel="4">
      <c r="A48" s="999"/>
      <c r="B48" s="999"/>
      <c r="C48" s="999"/>
      <c r="D48" s="1015">
        <f t="shared" si="6"/>
        <v>35</v>
      </c>
      <c r="E48" s="1017" t="s">
        <v>2004</v>
      </c>
      <c r="F48" s="1046">
        <f>+'[10]7'!$P$77+500</f>
        <v>1195.3580120000001</v>
      </c>
      <c r="G48" s="987">
        <f t="shared" si="5"/>
        <v>2.4138561888220199E-4</v>
      </c>
      <c r="H48" s="1070">
        <v>1167</v>
      </c>
      <c r="I48" s="1070">
        <v>1200</v>
      </c>
      <c r="J48" s="1070">
        <v>1200</v>
      </c>
      <c r="K48" s="1070">
        <v>1033</v>
      </c>
      <c r="L48" s="1070">
        <v>1000</v>
      </c>
      <c r="M48" s="1068">
        <v>767</v>
      </c>
      <c r="N48" s="1068">
        <v>933</v>
      </c>
      <c r="O48" s="1068">
        <v>767</v>
      </c>
      <c r="P48" s="1068">
        <v>767</v>
      </c>
      <c r="Q48" s="1068">
        <v>693</v>
      </c>
      <c r="R48" s="1068">
        <v>693</v>
      </c>
      <c r="S48" s="1068">
        <v>800</v>
      </c>
      <c r="T48" s="1068">
        <v>1067</v>
      </c>
      <c r="U48" s="1073">
        <v>1500</v>
      </c>
      <c r="V48" s="1073">
        <v>1600</v>
      </c>
      <c r="W48" s="1073">
        <v>2000</v>
      </c>
      <c r="X48" s="1073">
        <v>1800</v>
      </c>
      <c r="Y48" s="1073">
        <v>1700</v>
      </c>
      <c r="Z48" s="1073">
        <v>1800</v>
      </c>
      <c r="AA48" s="1073">
        <v>1800</v>
      </c>
      <c r="AB48" s="1073">
        <v>1933</v>
      </c>
      <c r="AC48" s="1069">
        <v>1800</v>
      </c>
      <c r="AD48" s="1069">
        <v>1800</v>
      </c>
      <c r="AE48" s="1069">
        <v>1833.3333333333333</v>
      </c>
      <c r="AF48" s="1069">
        <v>1866.6666666666667</v>
      </c>
      <c r="AG48" s="1068"/>
      <c r="AH48" s="1068">
        <f t="shared" si="1"/>
        <v>33.333333333333485</v>
      </c>
      <c r="AI48" s="1067"/>
    </row>
    <row r="49" spans="1:35" s="1010" customFormat="1" outlineLevel="4">
      <c r="A49" s="999"/>
      <c r="B49" s="999"/>
      <c r="C49" s="999"/>
      <c r="D49" s="1015">
        <f t="shared" si="6"/>
        <v>36</v>
      </c>
      <c r="E49" s="1017" t="s">
        <v>2003</v>
      </c>
      <c r="F49" s="1046">
        <f>+'[10]7'!$P$75+SUM('[10]7'!$P$86:$P$87)</f>
        <v>25220.696230199999</v>
      </c>
      <c r="G49" s="987">
        <f t="shared" si="5"/>
        <v>5.0929623652924867E-3</v>
      </c>
      <c r="H49" s="1070">
        <v>1000</v>
      </c>
      <c r="I49" s="1070">
        <v>1233</v>
      </c>
      <c r="J49" s="1070">
        <v>1200</v>
      </c>
      <c r="K49" s="1070">
        <v>933</v>
      </c>
      <c r="L49" s="1070">
        <v>933</v>
      </c>
      <c r="M49" s="1068">
        <v>767</v>
      </c>
      <c r="N49" s="1068">
        <v>800</v>
      </c>
      <c r="O49" s="1068">
        <v>767</v>
      </c>
      <c r="P49" s="1068">
        <v>767</v>
      </c>
      <c r="Q49" s="1068">
        <v>683</v>
      </c>
      <c r="R49" s="1068">
        <v>683</v>
      </c>
      <c r="S49" s="1068">
        <v>800</v>
      </c>
      <c r="T49" s="1068">
        <v>800</v>
      </c>
      <c r="U49" s="1073">
        <v>1000</v>
      </c>
      <c r="V49" s="1073">
        <v>1200</v>
      </c>
      <c r="W49" s="1073">
        <v>1200</v>
      </c>
      <c r="X49" s="1073">
        <v>1000</v>
      </c>
      <c r="Y49" s="1073">
        <v>800</v>
      </c>
      <c r="Z49" s="1073">
        <v>900</v>
      </c>
      <c r="AA49" s="1073">
        <v>1000</v>
      </c>
      <c r="AB49" s="1073">
        <v>1000</v>
      </c>
      <c r="AC49" s="1069">
        <v>800</v>
      </c>
      <c r="AD49" s="1069">
        <v>800</v>
      </c>
      <c r="AE49" s="1069">
        <v>900</v>
      </c>
      <c r="AF49" s="1069">
        <v>1000</v>
      </c>
      <c r="AG49" s="1068"/>
      <c r="AH49" s="1068">
        <f t="shared" si="1"/>
        <v>100</v>
      </c>
      <c r="AI49" s="1067"/>
    </row>
    <row r="50" spans="1:35" s="1010" customFormat="1" outlineLevel="4">
      <c r="A50" s="999"/>
      <c r="B50" s="999"/>
      <c r="C50" s="999"/>
      <c r="D50" s="1015">
        <f t="shared" si="6"/>
        <v>37</v>
      </c>
      <c r="E50" s="1017" t="s">
        <v>2002</v>
      </c>
      <c r="F50" s="1046">
        <f>+'[10]7'!$P$78+'[10]7'!$P$85</f>
        <v>31580.612070999996</v>
      </c>
      <c r="G50" s="987">
        <f t="shared" si="5"/>
        <v>6.3772572843532934E-3</v>
      </c>
      <c r="H50" s="1070">
        <v>800</v>
      </c>
      <c r="I50" s="1070">
        <v>1000</v>
      </c>
      <c r="J50" s="1070">
        <v>967</v>
      </c>
      <c r="K50" s="1070">
        <v>900</v>
      </c>
      <c r="L50" s="1070">
        <v>967</v>
      </c>
      <c r="M50" s="1068">
        <v>633</v>
      </c>
      <c r="N50" s="1068">
        <v>833</v>
      </c>
      <c r="O50" s="1068">
        <v>733</v>
      </c>
      <c r="P50" s="1068">
        <v>600</v>
      </c>
      <c r="Q50" s="1068">
        <v>600</v>
      </c>
      <c r="R50" s="1068">
        <v>600</v>
      </c>
      <c r="S50" s="1068">
        <v>717</v>
      </c>
      <c r="T50" s="1068">
        <v>717</v>
      </c>
      <c r="U50" s="1073">
        <v>1000</v>
      </c>
      <c r="V50" s="1073">
        <v>1200</v>
      </c>
      <c r="W50" s="1073">
        <v>1200</v>
      </c>
      <c r="X50" s="1073">
        <v>1000</v>
      </c>
      <c r="Y50" s="1073">
        <v>800</v>
      </c>
      <c r="Z50" s="1073">
        <v>800</v>
      </c>
      <c r="AA50" s="1073">
        <v>800</v>
      </c>
      <c r="AB50" s="1073">
        <v>800</v>
      </c>
      <c r="AC50" s="1069">
        <v>800</v>
      </c>
      <c r="AD50" s="1069">
        <v>800</v>
      </c>
      <c r="AE50" s="1069">
        <v>900</v>
      </c>
      <c r="AF50" s="1069">
        <v>933.33333333333337</v>
      </c>
      <c r="AG50" s="1068"/>
      <c r="AH50" s="1068">
        <f t="shared" si="1"/>
        <v>33.333333333333371</v>
      </c>
      <c r="AI50" s="1067"/>
    </row>
    <row r="51" spans="1:35" s="1010" customFormat="1" outlineLevel="4">
      <c r="A51" s="999"/>
      <c r="B51" s="999"/>
      <c r="C51" s="999"/>
      <c r="D51" s="1015">
        <f t="shared" si="6"/>
        <v>38</v>
      </c>
      <c r="E51" s="1017" t="s">
        <v>2001</v>
      </c>
      <c r="F51" s="1046">
        <f>+'[10]7'!$P$81+'[10]7'!$P$83</f>
        <v>4792.7173999999995</v>
      </c>
      <c r="G51" s="987">
        <f t="shared" si="5"/>
        <v>9.6782139251390886E-4</v>
      </c>
      <c r="H51" s="1070">
        <v>1750</v>
      </c>
      <c r="I51" s="1070">
        <v>1783</v>
      </c>
      <c r="J51" s="1070">
        <v>1750</v>
      </c>
      <c r="K51" s="1070">
        <v>1750</v>
      </c>
      <c r="L51" s="1070">
        <v>1750</v>
      </c>
      <c r="M51" s="1068">
        <v>1750</v>
      </c>
      <c r="N51" s="1068">
        <v>1750</v>
      </c>
      <c r="O51" s="1068">
        <v>1750</v>
      </c>
      <c r="P51" s="1068">
        <v>1683</v>
      </c>
      <c r="Q51" s="1068">
        <v>1617</v>
      </c>
      <c r="R51" s="1068">
        <v>1617</v>
      </c>
      <c r="S51" s="1068">
        <v>1617</v>
      </c>
      <c r="T51" s="1068">
        <v>1617</v>
      </c>
      <c r="U51" s="1073">
        <v>1600</v>
      </c>
      <c r="V51" s="1073">
        <v>1800</v>
      </c>
      <c r="W51" s="1073">
        <v>1800</v>
      </c>
      <c r="X51" s="1073">
        <v>1700</v>
      </c>
      <c r="Y51" s="1073">
        <v>1700</v>
      </c>
      <c r="Z51" s="1073">
        <v>1700</v>
      </c>
      <c r="AA51" s="1073">
        <v>1700</v>
      </c>
      <c r="AB51" s="1073">
        <v>1700</v>
      </c>
      <c r="AC51" s="1069">
        <v>1700</v>
      </c>
      <c r="AD51" s="1069">
        <v>1700</v>
      </c>
      <c r="AE51" s="1069">
        <v>1666.6666666666667</v>
      </c>
      <c r="AF51" s="1069">
        <v>1683.3333333333333</v>
      </c>
      <c r="AG51" s="1068"/>
      <c r="AH51" s="1068">
        <f t="shared" si="1"/>
        <v>16.666666666666515</v>
      </c>
      <c r="AI51" s="1067"/>
    </row>
    <row r="52" spans="1:35" s="1010" customFormat="1" outlineLevel="4">
      <c r="A52" s="999"/>
      <c r="B52" s="999"/>
      <c r="C52" s="999"/>
      <c r="D52" s="1015">
        <f t="shared" si="6"/>
        <v>39</v>
      </c>
      <c r="E52" s="1017" t="s">
        <v>2000</v>
      </c>
      <c r="F52" s="1046">
        <f>+'[10]7'!$P$84</f>
        <v>5121.8639700000003</v>
      </c>
      <c r="G52" s="987">
        <f t="shared" si="5"/>
        <v>1.0342878801308456E-3</v>
      </c>
      <c r="H52" s="1070">
        <v>2300</v>
      </c>
      <c r="I52" s="1070">
        <v>2367</v>
      </c>
      <c r="J52" s="1070">
        <v>2350</v>
      </c>
      <c r="K52" s="1070">
        <v>2350</v>
      </c>
      <c r="L52" s="1070">
        <v>2383</v>
      </c>
      <c r="M52" s="1068">
        <v>2383</v>
      </c>
      <c r="N52" s="1068">
        <v>2383</v>
      </c>
      <c r="O52" s="1068">
        <v>2383</v>
      </c>
      <c r="P52" s="1068">
        <v>2500</v>
      </c>
      <c r="Q52" s="1068">
        <v>2500</v>
      </c>
      <c r="R52" s="1068">
        <v>2500</v>
      </c>
      <c r="S52" s="1068">
        <v>2500</v>
      </c>
      <c r="T52" s="1068">
        <v>2500</v>
      </c>
      <c r="U52" s="1068">
        <v>2500</v>
      </c>
      <c r="V52" s="1073">
        <v>2600</v>
      </c>
      <c r="W52" s="1073">
        <v>2500</v>
      </c>
      <c r="X52" s="1073">
        <v>2500</v>
      </c>
      <c r="Y52" s="1073">
        <v>2500</v>
      </c>
      <c r="Z52" s="1073">
        <v>2500</v>
      </c>
      <c r="AA52" s="1073">
        <v>2600</v>
      </c>
      <c r="AB52" s="1073">
        <v>2600</v>
      </c>
      <c r="AC52" s="1069">
        <v>2600</v>
      </c>
      <c r="AD52" s="1069">
        <v>2600</v>
      </c>
      <c r="AE52" s="1069">
        <v>2600</v>
      </c>
      <c r="AF52" s="1069">
        <v>2600</v>
      </c>
      <c r="AG52" s="1068"/>
      <c r="AH52" s="1068">
        <f t="shared" si="1"/>
        <v>0</v>
      </c>
      <c r="AI52" s="1067"/>
    </row>
    <row r="53" spans="1:35" s="1010" customFormat="1" outlineLevel="4">
      <c r="A53" s="999"/>
      <c r="B53" s="999"/>
      <c r="C53" s="999"/>
      <c r="D53" s="1015">
        <v>40</v>
      </c>
      <c r="E53" s="1045" t="s">
        <v>1999</v>
      </c>
      <c r="F53" s="1046">
        <f>+'[10]7'!$P$80</f>
        <v>1915.2037600000001</v>
      </c>
      <c r="G53" s="987">
        <f t="shared" si="5"/>
        <v>3.867482714401384E-4</v>
      </c>
      <c r="H53" s="1070">
        <v>1533</v>
      </c>
      <c r="I53" s="1070">
        <v>1633</v>
      </c>
      <c r="J53" s="1070">
        <v>1767</v>
      </c>
      <c r="K53" s="1070">
        <v>1767</v>
      </c>
      <c r="L53" s="1070">
        <v>2333</v>
      </c>
      <c r="M53" s="1068">
        <v>2333</v>
      </c>
      <c r="N53" s="1068">
        <v>2333</v>
      </c>
      <c r="O53" s="1068">
        <v>2333</v>
      </c>
      <c r="P53" s="1068">
        <v>2067</v>
      </c>
      <c r="Q53" s="1068">
        <v>2033</v>
      </c>
      <c r="R53" s="1068">
        <v>2033</v>
      </c>
      <c r="S53" s="1068">
        <v>2033</v>
      </c>
      <c r="T53" s="1068">
        <v>2033</v>
      </c>
      <c r="U53" s="1073">
        <v>2300</v>
      </c>
      <c r="V53" s="1073">
        <v>2400</v>
      </c>
      <c r="W53" s="1073">
        <v>2400</v>
      </c>
      <c r="X53" s="1073">
        <v>2500</v>
      </c>
      <c r="Y53" s="1073">
        <v>2500</v>
      </c>
      <c r="Z53" s="1073">
        <v>2500</v>
      </c>
      <c r="AA53" s="1073">
        <v>2500</v>
      </c>
      <c r="AB53" s="1073">
        <v>2500</v>
      </c>
      <c r="AC53" s="1069">
        <v>2800</v>
      </c>
      <c r="AD53" s="1069">
        <v>2800</v>
      </c>
      <c r="AE53" s="1069">
        <v>2866.6666666666665</v>
      </c>
      <c r="AF53" s="1069">
        <v>2933.3333333333335</v>
      </c>
      <c r="AG53" s="1068"/>
      <c r="AH53" s="1068">
        <f t="shared" si="1"/>
        <v>66.66666666666697</v>
      </c>
      <c r="AI53" s="1067"/>
    </row>
    <row r="54" spans="1:35" s="1010" customFormat="1" outlineLevel="4">
      <c r="A54" s="999"/>
      <c r="B54" s="999"/>
      <c r="C54" s="999"/>
      <c r="D54" s="1015">
        <v>41</v>
      </c>
      <c r="E54" s="1045" t="s">
        <v>1998</v>
      </c>
      <c r="F54" s="1046">
        <f>+'[10]7'!$P$79+'[10]7'!$P$108</f>
        <v>7715.5916099999995</v>
      </c>
      <c r="G54" s="987">
        <f t="shared" si="5"/>
        <v>1.558054438189665E-3</v>
      </c>
      <c r="H54" s="1070">
        <v>233</v>
      </c>
      <c r="I54" s="1070">
        <v>267</v>
      </c>
      <c r="J54" s="1070">
        <v>233</v>
      </c>
      <c r="K54" s="1070">
        <v>277</v>
      </c>
      <c r="L54" s="1070">
        <v>333</v>
      </c>
      <c r="M54" s="1068">
        <v>333</v>
      </c>
      <c r="N54" s="1068">
        <v>300</v>
      </c>
      <c r="O54" s="1068">
        <v>300</v>
      </c>
      <c r="P54" s="1068">
        <v>300</v>
      </c>
      <c r="Q54" s="1068">
        <v>333</v>
      </c>
      <c r="R54" s="1068">
        <v>333</v>
      </c>
      <c r="S54" s="1068">
        <v>333</v>
      </c>
      <c r="T54" s="1068">
        <v>333</v>
      </c>
      <c r="U54" s="1073">
        <v>400</v>
      </c>
      <c r="V54" s="1073">
        <v>400</v>
      </c>
      <c r="W54" s="1073">
        <v>350</v>
      </c>
      <c r="X54" s="1073">
        <v>350</v>
      </c>
      <c r="Y54" s="1073">
        <v>350</v>
      </c>
      <c r="Z54" s="1073">
        <v>400</v>
      </c>
      <c r="AA54" s="1073">
        <v>400</v>
      </c>
      <c r="AB54" s="1073">
        <v>350</v>
      </c>
      <c r="AC54" s="1069">
        <v>300</v>
      </c>
      <c r="AD54" s="1069">
        <v>300</v>
      </c>
      <c r="AE54" s="1069">
        <v>366.66666666666669</v>
      </c>
      <c r="AF54" s="1069">
        <v>376.66666666666669</v>
      </c>
      <c r="AG54" s="1068"/>
      <c r="AH54" s="1068">
        <f t="shared" si="1"/>
        <v>10</v>
      </c>
      <c r="AI54" s="1067"/>
    </row>
    <row r="55" spans="1:35" outlineLevel="3">
      <c r="A55" s="999"/>
      <c r="B55" s="1043">
        <v>7</v>
      </c>
      <c r="C55" s="1049" t="s">
        <v>1997</v>
      </c>
      <c r="D55" s="1049"/>
      <c r="E55" s="1049"/>
      <c r="F55" s="998">
        <f>SUM(F56:F61)</f>
        <v>111807.706901</v>
      </c>
      <c r="G55" s="997">
        <f>SUM(G56:G61)</f>
        <v>2.2577982709081242E-2</v>
      </c>
      <c r="H55" s="1051"/>
      <c r="I55" s="1051"/>
      <c r="J55" s="1051"/>
      <c r="K55" s="1051"/>
      <c r="L55" s="1051"/>
      <c r="M55" s="1068"/>
      <c r="N55" s="1068"/>
      <c r="O55" s="1068"/>
      <c r="P55" s="1068"/>
      <c r="Q55" s="1068"/>
      <c r="R55" s="1068"/>
      <c r="S55" s="1068"/>
      <c r="T55" s="1068"/>
      <c r="U55" s="705"/>
      <c r="V55" s="705"/>
      <c r="W55" s="705"/>
      <c r="X55" s="705"/>
      <c r="Y55" s="705"/>
      <c r="Z55" s="705"/>
      <c r="AA55" s="705"/>
      <c r="AB55" s="705"/>
      <c r="AC55" s="1069"/>
      <c r="AD55" s="1069"/>
      <c r="AE55" s="1069"/>
      <c r="AF55" s="1069"/>
      <c r="AG55" s="1068"/>
      <c r="AH55" s="1068">
        <f t="shared" si="1"/>
        <v>0</v>
      </c>
    </row>
    <row r="56" spans="1:35" s="1010" customFormat="1" outlineLevel="4">
      <c r="A56" s="999"/>
      <c r="B56" s="999"/>
      <c r="C56" s="999"/>
      <c r="D56" s="1015">
        <v>42</v>
      </c>
      <c r="E56" s="1017" t="s">
        <v>1996</v>
      </c>
      <c r="F56" s="1046">
        <f>+'[10]7'!$P$88+SUM('[10]7'!$P$89:$P$90)</f>
        <v>42080.341860999994</v>
      </c>
      <c r="G56" s="987">
        <f t="shared" ref="G56:G61" si="7">+F56/$F$332</f>
        <v>8.4975289920858569E-3</v>
      </c>
      <c r="H56" s="1070">
        <v>1700</v>
      </c>
      <c r="I56" s="1070">
        <v>1600</v>
      </c>
      <c r="J56" s="1070">
        <v>1600</v>
      </c>
      <c r="K56" s="1070">
        <v>1600</v>
      </c>
      <c r="L56" s="1070">
        <v>1600</v>
      </c>
      <c r="M56" s="1068">
        <v>1500</v>
      </c>
      <c r="N56" s="1068">
        <v>1600</v>
      </c>
      <c r="O56" s="1068">
        <v>1600</v>
      </c>
      <c r="P56" s="1068">
        <v>1600</v>
      </c>
      <c r="Q56" s="1068">
        <v>1600</v>
      </c>
      <c r="R56" s="1068">
        <v>1600</v>
      </c>
      <c r="S56" s="1068">
        <v>1600</v>
      </c>
      <c r="T56" s="1068">
        <v>1600</v>
      </c>
      <c r="U56" s="1073">
        <v>1600</v>
      </c>
      <c r="V56" s="1073">
        <v>1600</v>
      </c>
      <c r="W56" s="1073">
        <v>1600</v>
      </c>
      <c r="X56" s="1073">
        <v>1600</v>
      </c>
      <c r="Y56" s="1073">
        <v>1600</v>
      </c>
      <c r="Z56" s="1073">
        <v>1500</v>
      </c>
      <c r="AA56" s="1073">
        <v>1600</v>
      </c>
      <c r="AB56" s="1073">
        <v>1533</v>
      </c>
      <c r="AC56" s="1069">
        <v>1500</v>
      </c>
      <c r="AD56" s="1069">
        <v>1500</v>
      </c>
      <c r="AE56" s="1069">
        <v>1566.6666666666667</v>
      </c>
      <c r="AF56" s="1069">
        <v>1566.6666666666667</v>
      </c>
      <c r="AG56" s="1068"/>
      <c r="AH56" s="1068">
        <f t="shared" si="1"/>
        <v>0</v>
      </c>
      <c r="AI56" s="1067"/>
    </row>
    <row r="57" spans="1:35" s="1010" customFormat="1" outlineLevel="4">
      <c r="A57" s="999"/>
      <c r="B57" s="999"/>
      <c r="C57" s="999"/>
      <c r="D57" s="1013">
        <f>+D56+1</f>
        <v>43</v>
      </c>
      <c r="E57" s="1017" t="s">
        <v>1995</v>
      </c>
      <c r="F57" s="1046">
        <f>+'[10]7'!$P$91</f>
        <v>21053.839799999998</v>
      </c>
      <c r="G57" s="987">
        <f t="shared" si="7"/>
        <v>4.2515247306258355E-3</v>
      </c>
      <c r="H57" s="1070">
        <v>3600</v>
      </c>
      <c r="I57" s="1070">
        <v>3667</v>
      </c>
      <c r="J57" s="1070">
        <v>3467</v>
      </c>
      <c r="K57" s="1070">
        <v>3333</v>
      </c>
      <c r="L57" s="1070">
        <v>3433</v>
      </c>
      <c r="M57" s="1068">
        <v>3433</v>
      </c>
      <c r="N57" s="1068">
        <v>3433</v>
      </c>
      <c r="O57" s="1068">
        <v>3433</v>
      </c>
      <c r="P57" s="1068">
        <v>3433</v>
      </c>
      <c r="Q57" s="1068">
        <v>3467</v>
      </c>
      <c r="R57" s="1068">
        <v>3467</v>
      </c>
      <c r="S57" s="1068">
        <v>3467</v>
      </c>
      <c r="T57" s="1068">
        <v>3467</v>
      </c>
      <c r="U57" s="1073">
        <v>3600</v>
      </c>
      <c r="V57" s="1073">
        <v>3600</v>
      </c>
      <c r="W57" s="1073">
        <v>3600</v>
      </c>
      <c r="X57" s="1073">
        <v>3600</v>
      </c>
      <c r="Y57" s="1073">
        <v>3600</v>
      </c>
      <c r="Z57" s="1073">
        <v>3600</v>
      </c>
      <c r="AA57" s="1073">
        <v>3600</v>
      </c>
      <c r="AB57" s="1073">
        <v>3500</v>
      </c>
      <c r="AC57" s="1069">
        <v>3500</v>
      </c>
      <c r="AD57" s="1069">
        <v>3500</v>
      </c>
      <c r="AE57" s="1069">
        <v>3533.3333333333335</v>
      </c>
      <c r="AF57" s="1069">
        <v>3533.3333333333335</v>
      </c>
      <c r="AG57" s="1068"/>
      <c r="AH57" s="1068">
        <f t="shared" si="1"/>
        <v>0</v>
      </c>
      <c r="AI57" s="1067"/>
    </row>
    <row r="58" spans="1:35" s="1010" customFormat="1" outlineLevel="4">
      <c r="A58" s="999"/>
      <c r="B58" s="999"/>
      <c r="C58" s="999"/>
      <c r="D58" s="1015">
        <f>+D57+1</f>
        <v>44</v>
      </c>
      <c r="E58" s="1017" t="s">
        <v>1994</v>
      </c>
      <c r="F58" s="1046">
        <f>+'[10]7'!$P$92</f>
        <v>18625.266599999999</v>
      </c>
      <c r="G58" s="987">
        <f t="shared" si="7"/>
        <v>3.7611087723959684E-3</v>
      </c>
      <c r="H58" s="1070">
        <v>5933</v>
      </c>
      <c r="I58" s="1070">
        <v>6133</v>
      </c>
      <c r="J58" s="1070">
        <v>6067</v>
      </c>
      <c r="K58" s="1070">
        <v>6067</v>
      </c>
      <c r="L58" s="1070">
        <v>6133</v>
      </c>
      <c r="M58" s="1068">
        <v>6133</v>
      </c>
      <c r="N58" s="1068">
        <v>6133</v>
      </c>
      <c r="O58" s="1068">
        <v>6133</v>
      </c>
      <c r="P58" s="1068">
        <v>6133</v>
      </c>
      <c r="Q58" s="1068">
        <v>6133</v>
      </c>
      <c r="R58" s="1068">
        <v>6133</v>
      </c>
      <c r="S58" s="1068">
        <v>6133</v>
      </c>
      <c r="T58" s="1068">
        <v>6133</v>
      </c>
      <c r="U58" s="1073">
        <v>6500</v>
      </c>
      <c r="V58" s="1073">
        <v>6500</v>
      </c>
      <c r="W58" s="1073">
        <v>6500</v>
      </c>
      <c r="X58" s="1073">
        <v>6800</v>
      </c>
      <c r="Y58" s="1073">
        <v>6800</v>
      </c>
      <c r="Z58" s="1073">
        <v>6700</v>
      </c>
      <c r="AA58" s="1073">
        <v>6600</v>
      </c>
      <c r="AB58" s="1073">
        <v>6600</v>
      </c>
      <c r="AC58" s="1069">
        <v>6600</v>
      </c>
      <c r="AD58" s="1069">
        <v>6600</v>
      </c>
      <c r="AE58" s="1069">
        <v>6766.666666666667</v>
      </c>
      <c r="AF58" s="1069">
        <v>6833.333333333333</v>
      </c>
      <c r="AG58" s="1068"/>
      <c r="AH58" s="1068">
        <f t="shared" si="1"/>
        <v>66.66666666666606</v>
      </c>
      <c r="AI58" s="1067"/>
    </row>
    <row r="59" spans="1:35" s="1010" customFormat="1" outlineLevel="4">
      <c r="A59" s="999"/>
      <c r="B59" s="999"/>
      <c r="C59" s="999"/>
      <c r="D59" s="1015">
        <f>+D58+1</f>
        <v>45</v>
      </c>
      <c r="E59" s="1017" t="s">
        <v>1993</v>
      </c>
      <c r="F59" s="1046">
        <f>+'[10]7'!$P$93</f>
        <v>7006.3289800000002</v>
      </c>
      <c r="G59" s="987">
        <f t="shared" si="7"/>
        <v>1.414828896407319E-3</v>
      </c>
      <c r="H59" s="1070">
        <v>1133</v>
      </c>
      <c r="I59" s="1070">
        <v>1200</v>
      </c>
      <c r="J59" s="1070">
        <v>1133</v>
      </c>
      <c r="K59" s="1070">
        <v>1133</v>
      </c>
      <c r="L59" s="1070">
        <v>1133</v>
      </c>
      <c r="M59" s="1068">
        <v>1133</v>
      </c>
      <c r="N59" s="1068">
        <v>1133</v>
      </c>
      <c r="O59" s="1068">
        <v>1133</v>
      </c>
      <c r="P59" s="1068">
        <v>1133</v>
      </c>
      <c r="Q59" s="1068">
        <v>1200</v>
      </c>
      <c r="R59" s="1068">
        <v>1200</v>
      </c>
      <c r="S59" s="1068">
        <v>1200</v>
      </c>
      <c r="T59" s="1068">
        <v>1200</v>
      </c>
      <c r="U59" s="1073">
        <v>1300</v>
      </c>
      <c r="V59" s="1073">
        <v>1300</v>
      </c>
      <c r="W59" s="1073">
        <v>1300</v>
      </c>
      <c r="X59" s="1073">
        <v>1300</v>
      </c>
      <c r="Y59" s="1073">
        <v>1300</v>
      </c>
      <c r="Z59" s="1073">
        <v>1300</v>
      </c>
      <c r="AA59" s="1073">
        <v>1300</v>
      </c>
      <c r="AB59" s="1073">
        <v>1300</v>
      </c>
      <c r="AC59" s="1069">
        <v>1300</v>
      </c>
      <c r="AD59" s="1069">
        <v>1300</v>
      </c>
      <c r="AE59" s="1069">
        <v>1333.3333333333333</v>
      </c>
      <c r="AF59" s="1069">
        <v>1466.6666666666667</v>
      </c>
      <c r="AG59" s="1068"/>
      <c r="AH59" s="1068">
        <f t="shared" si="1"/>
        <v>133.33333333333348</v>
      </c>
      <c r="AI59" s="1067"/>
    </row>
    <row r="60" spans="1:35" s="1010" customFormat="1" outlineLevel="4">
      <c r="A60" s="999"/>
      <c r="B60" s="999"/>
      <c r="C60" s="999"/>
      <c r="D60" s="1015">
        <f>+D59+1</f>
        <v>46</v>
      </c>
      <c r="E60" s="1048" t="s">
        <v>1992</v>
      </c>
      <c r="F60" s="1046">
        <f>+'[10]7'!$P$96+'[10]7'!$P$94</f>
        <v>19337.956659999996</v>
      </c>
      <c r="G60" s="987">
        <f t="shared" si="7"/>
        <v>3.9050264351190027E-3</v>
      </c>
      <c r="H60" s="1070">
        <v>833</v>
      </c>
      <c r="I60" s="1070">
        <v>833</v>
      </c>
      <c r="J60" s="1070">
        <v>833</v>
      </c>
      <c r="K60" s="1070">
        <v>833</v>
      </c>
      <c r="L60" s="1070">
        <v>883</v>
      </c>
      <c r="M60" s="1068">
        <v>883</v>
      </c>
      <c r="N60" s="1068">
        <v>883</v>
      </c>
      <c r="O60" s="1068">
        <v>883</v>
      </c>
      <c r="P60" s="1068">
        <v>883</v>
      </c>
      <c r="Q60" s="1068">
        <v>883</v>
      </c>
      <c r="R60" s="1068">
        <v>883</v>
      </c>
      <c r="S60" s="1068">
        <v>883</v>
      </c>
      <c r="T60" s="1068">
        <v>883</v>
      </c>
      <c r="U60" s="1073">
        <v>1000</v>
      </c>
      <c r="V60" s="1073">
        <v>1000</v>
      </c>
      <c r="W60" s="1073">
        <v>1000</v>
      </c>
      <c r="X60" s="1073">
        <v>1000</v>
      </c>
      <c r="Y60" s="1073">
        <v>1000</v>
      </c>
      <c r="Z60" s="1073">
        <v>1000</v>
      </c>
      <c r="AA60" s="1073">
        <v>1000</v>
      </c>
      <c r="AB60" s="1073">
        <v>1000</v>
      </c>
      <c r="AC60" s="1069">
        <v>1000</v>
      </c>
      <c r="AD60" s="1069">
        <v>1000</v>
      </c>
      <c r="AE60" s="1069">
        <v>1033.3333333333333</v>
      </c>
      <c r="AF60" s="1069">
        <v>1066.6666666666667</v>
      </c>
      <c r="AG60" s="1068"/>
      <c r="AH60" s="1068">
        <f t="shared" si="1"/>
        <v>33.333333333333485</v>
      </c>
      <c r="AI60" s="1067"/>
    </row>
    <row r="61" spans="1:35" s="1010" customFormat="1" outlineLevel="4">
      <c r="A61" s="999"/>
      <c r="B61" s="999"/>
      <c r="C61" s="999"/>
      <c r="D61" s="1015">
        <v>47</v>
      </c>
      <c r="E61" s="1047" t="s">
        <v>1991</v>
      </c>
      <c r="F61" s="1046">
        <f>+'[10]7'!$P$95</f>
        <v>3703.9730000000004</v>
      </c>
      <c r="G61" s="987">
        <f t="shared" si="7"/>
        <v>7.4796488244725659E-4</v>
      </c>
      <c r="H61" s="1070">
        <v>3633</v>
      </c>
      <c r="I61" s="1070">
        <v>3700</v>
      </c>
      <c r="J61" s="1070">
        <v>3633</v>
      </c>
      <c r="K61" s="1070">
        <v>3633</v>
      </c>
      <c r="L61" s="1070">
        <v>3633</v>
      </c>
      <c r="M61" s="1068">
        <v>3633</v>
      </c>
      <c r="N61" s="1068">
        <v>3633</v>
      </c>
      <c r="O61" s="1068">
        <v>3667</v>
      </c>
      <c r="P61" s="1068">
        <v>3667</v>
      </c>
      <c r="Q61" s="1068">
        <v>3667</v>
      </c>
      <c r="R61" s="1068">
        <v>3667</v>
      </c>
      <c r="S61" s="1068">
        <v>3667</v>
      </c>
      <c r="T61" s="1068">
        <v>3667</v>
      </c>
      <c r="U61" s="1073">
        <v>3800</v>
      </c>
      <c r="V61" s="1073">
        <v>3900</v>
      </c>
      <c r="W61" s="1073">
        <v>3600</v>
      </c>
      <c r="X61" s="1073">
        <v>3600</v>
      </c>
      <c r="Y61" s="1073">
        <v>3600</v>
      </c>
      <c r="Z61" s="1073">
        <v>3700</v>
      </c>
      <c r="AA61" s="1073">
        <v>4000</v>
      </c>
      <c r="AB61" s="1073">
        <v>4000</v>
      </c>
      <c r="AC61" s="1069">
        <v>4000</v>
      </c>
      <c r="AD61" s="1069">
        <v>4000</v>
      </c>
      <c r="AE61" s="1069">
        <v>4233.333333333333</v>
      </c>
      <c r="AF61" s="1069">
        <v>4333.333333333333</v>
      </c>
      <c r="AG61" s="1068"/>
      <c r="AH61" s="1068">
        <f t="shared" si="1"/>
        <v>100</v>
      </c>
      <c r="AI61" s="1067"/>
    </row>
    <row r="62" spans="1:35" outlineLevel="3">
      <c r="A62" s="999"/>
      <c r="B62" s="999"/>
      <c r="C62" s="1956" t="s">
        <v>1990</v>
      </c>
      <c r="D62" s="1956"/>
      <c r="E62" s="1956"/>
      <c r="F62" s="998">
        <f>SUM(F63:F68)</f>
        <v>50073.758585000003</v>
      </c>
      <c r="G62" s="997">
        <f>SUM(G63:G68)</f>
        <v>1.0111686276795706E-2</v>
      </c>
      <c r="H62" s="1051"/>
      <c r="I62" s="1051"/>
      <c r="J62" s="1051"/>
      <c r="K62" s="1051"/>
      <c r="L62" s="1051"/>
      <c r="M62" s="1068"/>
      <c r="N62" s="1068"/>
      <c r="O62" s="1068"/>
      <c r="P62" s="1068"/>
      <c r="Q62" s="1068"/>
      <c r="R62" s="1068"/>
      <c r="S62" s="1068"/>
      <c r="T62" s="1068"/>
      <c r="U62" s="705"/>
      <c r="V62" s="705"/>
      <c r="W62" s="705"/>
      <c r="X62" s="705"/>
      <c r="Y62" s="705"/>
      <c r="Z62" s="705"/>
      <c r="AA62" s="705"/>
      <c r="AB62" s="705"/>
      <c r="AC62" s="1069"/>
      <c r="AD62" s="1069"/>
      <c r="AE62" s="1069"/>
      <c r="AF62" s="1069"/>
      <c r="AG62" s="1068"/>
      <c r="AH62" s="1068">
        <f t="shared" si="1"/>
        <v>0</v>
      </c>
    </row>
    <row r="63" spans="1:35" s="1010" customFormat="1" outlineLevel="4">
      <c r="A63" s="999"/>
      <c r="B63" s="999"/>
      <c r="C63" s="999"/>
      <c r="D63" s="1015">
        <f>+D61+1</f>
        <v>48</v>
      </c>
      <c r="E63" s="1017" t="s">
        <v>1989</v>
      </c>
      <c r="F63" s="1046">
        <f>+'[10]7'!$P$101+0.7*'[10]7'!$P$105</f>
        <v>7727.2636060000004</v>
      </c>
      <c r="G63" s="987">
        <f t="shared" ref="G63:G68" si="8">+F63/$F$332</f>
        <v>1.5604114324539496E-3</v>
      </c>
      <c r="H63" s="1070">
        <v>500</v>
      </c>
      <c r="I63" s="1070">
        <v>500</v>
      </c>
      <c r="J63" s="1070">
        <v>500</v>
      </c>
      <c r="K63" s="1070">
        <v>500</v>
      </c>
      <c r="L63" s="1070">
        <v>500</v>
      </c>
      <c r="M63" s="1070">
        <v>500</v>
      </c>
      <c r="N63" s="1070">
        <v>500</v>
      </c>
      <c r="O63" s="1070">
        <v>500</v>
      </c>
      <c r="P63" s="1070">
        <v>500</v>
      </c>
      <c r="Q63" s="1070">
        <v>500</v>
      </c>
      <c r="R63" s="1070">
        <v>500</v>
      </c>
      <c r="S63" s="1070">
        <v>500</v>
      </c>
      <c r="T63" s="1070">
        <v>500</v>
      </c>
      <c r="U63" s="1070">
        <v>500</v>
      </c>
      <c r="V63" s="1073">
        <v>500</v>
      </c>
      <c r="W63" s="1073">
        <v>500</v>
      </c>
      <c r="X63" s="1073">
        <v>500</v>
      </c>
      <c r="Y63" s="1073">
        <v>500</v>
      </c>
      <c r="Z63" s="1073">
        <v>500</v>
      </c>
      <c r="AA63" s="1073">
        <v>500</v>
      </c>
      <c r="AB63" s="1073">
        <v>500</v>
      </c>
      <c r="AC63" s="1069">
        <v>500</v>
      </c>
      <c r="AD63" s="1069">
        <v>500</v>
      </c>
      <c r="AE63" s="1069">
        <v>500</v>
      </c>
      <c r="AF63" s="1069">
        <v>500</v>
      </c>
      <c r="AG63" s="1068"/>
      <c r="AH63" s="1068">
        <f t="shared" si="1"/>
        <v>0</v>
      </c>
      <c r="AI63" s="1067"/>
    </row>
    <row r="64" spans="1:35" s="1010" customFormat="1" outlineLevel="4">
      <c r="A64" s="999"/>
      <c r="B64" s="999"/>
      <c r="C64" s="999"/>
      <c r="D64" s="1015">
        <f>+D63+1</f>
        <v>49</v>
      </c>
      <c r="E64" s="1017" t="s">
        <v>1988</v>
      </c>
      <c r="F64" s="1046">
        <f>+'[10]7'!$P$104+0.5*'[10]7'!$P$106+0.3*'[10]7'!$P$105</f>
        <v>15217.867774</v>
      </c>
      <c r="G64" s="987">
        <f t="shared" si="8"/>
        <v>3.0730328435649512E-3</v>
      </c>
      <c r="H64" s="1070">
        <v>2633</v>
      </c>
      <c r="I64" s="1070">
        <v>2700</v>
      </c>
      <c r="J64" s="1070">
        <v>2833</v>
      </c>
      <c r="K64" s="1070">
        <v>2833</v>
      </c>
      <c r="L64" s="1070">
        <v>2833</v>
      </c>
      <c r="M64" s="1068">
        <v>2767</v>
      </c>
      <c r="N64" s="1068">
        <v>2767</v>
      </c>
      <c r="O64" s="1068">
        <v>2767</v>
      </c>
      <c r="P64" s="1068">
        <v>3033</v>
      </c>
      <c r="Q64" s="1068">
        <v>3033</v>
      </c>
      <c r="R64" s="1068">
        <v>3033</v>
      </c>
      <c r="S64" s="1068">
        <v>3033</v>
      </c>
      <c r="T64" s="1068">
        <v>3033</v>
      </c>
      <c r="U64" s="1073">
        <v>3200</v>
      </c>
      <c r="V64" s="1073">
        <v>3500</v>
      </c>
      <c r="W64" s="1073">
        <v>3900</v>
      </c>
      <c r="X64" s="1073">
        <v>4000</v>
      </c>
      <c r="Y64" s="1073">
        <v>4000</v>
      </c>
      <c r="Z64" s="1073">
        <v>4000</v>
      </c>
      <c r="AA64" s="1073">
        <v>4200</v>
      </c>
      <c r="AB64" s="1073">
        <v>4000</v>
      </c>
      <c r="AC64" s="1069">
        <v>4000</v>
      </c>
      <c r="AD64" s="1069">
        <v>4000</v>
      </c>
      <c r="AE64" s="1069">
        <v>4000</v>
      </c>
      <c r="AF64" s="1069">
        <v>4000</v>
      </c>
      <c r="AG64" s="1068"/>
      <c r="AH64" s="1068">
        <f t="shared" si="1"/>
        <v>0</v>
      </c>
      <c r="AI64" s="1067"/>
    </row>
    <row r="65" spans="1:35" s="1010" customFormat="1" outlineLevel="4">
      <c r="A65" s="999"/>
      <c r="B65" s="999"/>
      <c r="C65" s="999"/>
      <c r="D65" s="1015">
        <f>+D64+1</f>
        <v>50</v>
      </c>
      <c r="E65" s="1017" t="s">
        <v>1987</v>
      </c>
      <c r="F65" s="1046">
        <f>+'[10]7'!$P$103+'[10]7'!$P$102+0.5*'[10]7'!$P$106</f>
        <v>12033.64704</v>
      </c>
      <c r="G65" s="987">
        <f t="shared" si="8"/>
        <v>2.4300245692086245E-3</v>
      </c>
      <c r="H65" s="1070">
        <v>1683</v>
      </c>
      <c r="I65" s="1070">
        <v>1767</v>
      </c>
      <c r="J65" s="1070">
        <v>1683</v>
      </c>
      <c r="K65" s="1070">
        <v>1733</v>
      </c>
      <c r="L65" s="1070">
        <v>1633</v>
      </c>
      <c r="M65" s="1068">
        <v>1633</v>
      </c>
      <c r="N65" s="1068">
        <v>1633</v>
      </c>
      <c r="O65" s="1068">
        <v>1633</v>
      </c>
      <c r="P65" s="1068">
        <v>1633</v>
      </c>
      <c r="Q65" s="1068">
        <v>1633</v>
      </c>
      <c r="R65" s="1068">
        <v>1633</v>
      </c>
      <c r="S65" s="1068">
        <v>1633</v>
      </c>
      <c r="T65" s="1068">
        <v>1633</v>
      </c>
      <c r="U65" s="1073">
        <v>1700</v>
      </c>
      <c r="V65" s="1073">
        <v>1700</v>
      </c>
      <c r="W65" s="1073">
        <v>1700</v>
      </c>
      <c r="X65" s="1073">
        <v>1700</v>
      </c>
      <c r="Y65" s="1073">
        <v>1700</v>
      </c>
      <c r="Z65" s="1073">
        <v>1700</v>
      </c>
      <c r="AA65" s="1073">
        <v>1700</v>
      </c>
      <c r="AB65" s="1073">
        <v>1700</v>
      </c>
      <c r="AC65" s="1069">
        <v>1700</v>
      </c>
      <c r="AD65" s="1069">
        <v>1700</v>
      </c>
      <c r="AE65" s="1069">
        <v>1700</v>
      </c>
      <c r="AF65" s="1069">
        <v>1700</v>
      </c>
      <c r="AG65" s="1068"/>
      <c r="AH65" s="1068">
        <f t="shared" si="1"/>
        <v>0</v>
      </c>
      <c r="AI65" s="1067"/>
    </row>
    <row r="66" spans="1:35" s="1010" customFormat="1" outlineLevel="4">
      <c r="A66" s="999"/>
      <c r="B66" s="999"/>
      <c r="C66" s="999"/>
      <c r="D66" s="1015">
        <f>+D65+1</f>
        <v>51</v>
      </c>
      <c r="E66" s="1045" t="s">
        <v>1986</v>
      </c>
      <c r="F66" s="1046">
        <f>+'[10]7'!$P$100+'[10]7'!$P$107</f>
        <v>3013.6819949999999</v>
      </c>
      <c r="G66" s="987">
        <f t="shared" si="8"/>
        <v>6.0857039161019491E-4</v>
      </c>
      <c r="H66" s="1070">
        <v>300</v>
      </c>
      <c r="I66" s="1070">
        <v>300</v>
      </c>
      <c r="J66" s="1070">
        <v>300</v>
      </c>
      <c r="K66" s="1070">
        <v>300</v>
      </c>
      <c r="L66" s="1070">
        <v>300</v>
      </c>
      <c r="M66" s="1070">
        <v>300</v>
      </c>
      <c r="N66" s="1070">
        <v>300</v>
      </c>
      <c r="O66" s="1070">
        <v>300</v>
      </c>
      <c r="P66" s="1070">
        <v>300</v>
      </c>
      <c r="Q66" s="1070">
        <v>300</v>
      </c>
      <c r="R66" s="1070">
        <v>300</v>
      </c>
      <c r="S66" s="1070">
        <v>300</v>
      </c>
      <c r="T66" s="1070">
        <v>300</v>
      </c>
      <c r="U66" s="1070">
        <v>300</v>
      </c>
      <c r="V66" s="1073">
        <v>300</v>
      </c>
      <c r="W66" s="1073">
        <v>350</v>
      </c>
      <c r="X66" s="1073">
        <v>320</v>
      </c>
      <c r="Y66" s="1073">
        <v>320</v>
      </c>
      <c r="Z66" s="1073">
        <v>320</v>
      </c>
      <c r="AA66" s="1073">
        <v>320</v>
      </c>
      <c r="AB66" s="1073">
        <v>320</v>
      </c>
      <c r="AC66" s="1069">
        <v>320</v>
      </c>
      <c r="AD66" s="1069">
        <v>320</v>
      </c>
      <c r="AE66" s="1069">
        <v>320</v>
      </c>
      <c r="AF66" s="1069">
        <v>320</v>
      </c>
      <c r="AG66" s="1068"/>
      <c r="AH66" s="1068">
        <f t="shared" si="1"/>
        <v>0</v>
      </c>
      <c r="AI66" s="1067"/>
    </row>
    <row r="67" spans="1:35" s="1010" customFormat="1" outlineLevel="4">
      <c r="A67" s="999"/>
      <c r="B67" s="999"/>
      <c r="C67" s="999"/>
      <c r="D67" s="1015">
        <f>+D66+1</f>
        <v>52</v>
      </c>
      <c r="E67" s="1045" t="s">
        <v>1985</v>
      </c>
      <c r="F67" s="1046">
        <f>+'[10]7'!$P$98</f>
        <v>3106.6638199999998</v>
      </c>
      <c r="G67" s="987">
        <f t="shared" si="8"/>
        <v>6.2734675412845736E-4</v>
      </c>
      <c r="H67" s="1070">
        <v>617</v>
      </c>
      <c r="I67" s="1070">
        <v>623</v>
      </c>
      <c r="J67" s="1070">
        <v>617</v>
      </c>
      <c r="K67" s="1070">
        <v>617</v>
      </c>
      <c r="L67" s="1070">
        <v>617</v>
      </c>
      <c r="M67" s="1068">
        <v>617</v>
      </c>
      <c r="N67" s="1068">
        <v>617</v>
      </c>
      <c r="O67" s="1068">
        <v>617</v>
      </c>
      <c r="P67" s="1068">
        <v>533</v>
      </c>
      <c r="Q67" s="1068">
        <v>533</v>
      </c>
      <c r="R67" s="1068">
        <v>533</v>
      </c>
      <c r="S67" s="1068">
        <v>533</v>
      </c>
      <c r="T67" s="1068">
        <v>533</v>
      </c>
      <c r="U67" s="1073">
        <v>550</v>
      </c>
      <c r="V67" s="1073">
        <v>600</v>
      </c>
      <c r="W67" s="1073">
        <v>580</v>
      </c>
      <c r="X67" s="1073">
        <v>550</v>
      </c>
      <c r="Y67" s="1073">
        <v>550</v>
      </c>
      <c r="Z67" s="1073">
        <v>500</v>
      </c>
      <c r="AA67" s="1073">
        <v>500</v>
      </c>
      <c r="AB67" s="1073">
        <v>500</v>
      </c>
      <c r="AC67" s="1069">
        <v>500</v>
      </c>
      <c r="AD67" s="1069">
        <v>500</v>
      </c>
      <c r="AE67" s="1069">
        <v>483.33333333333331</v>
      </c>
      <c r="AF67" s="1069">
        <v>483.33333333333331</v>
      </c>
      <c r="AG67" s="1068"/>
      <c r="AH67" s="1068">
        <f t="shared" si="1"/>
        <v>0</v>
      </c>
      <c r="AI67" s="1067"/>
    </row>
    <row r="68" spans="1:35" s="1010" customFormat="1" outlineLevel="4">
      <c r="A68" s="999"/>
      <c r="B68" s="999"/>
      <c r="C68" s="999"/>
      <c r="D68" s="1015">
        <f>+D67+1</f>
        <v>53</v>
      </c>
      <c r="E68" s="1045" t="s">
        <v>1984</v>
      </c>
      <c r="F68" s="1046">
        <f>+'[10]7'!$P$97</f>
        <v>8974.6343500000003</v>
      </c>
      <c r="G68" s="987">
        <f t="shared" si="8"/>
        <v>1.8123002858295295E-3</v>
      </c>
      <c r="H68" s="1070">
        <v>350</v>
      </c>
      <c r="I68" s="1070">
        <v>350</v>
      </c>
      <c r="J68" s="1070">
        <v>350</v>
      </c>
      <c r="K68" s="1070">
        <v>350</v>
      </c>
      <c r="L68" s="1070">
        <v>350</v>
      </c>
      <c r="M68" s="1070">
        <v>350</v>
      </c>
      <c r="N68" s="1070">
        <v>350</v>
      </c>
      <c r="O68" s="1070">
        <v>350</v>
      </c>
      <c r="P68" s="1070">
        <v>350</v>
      </c>
      <c r="Q68" s="1070">
        <v>350</v>
      </c>
      <c r="R68" s="1070">
        <v>350</v>
      </c>
      <c r="S68" s="1070">
        <v>350</v>
      </c>
      <c r="T68" s="1070">
        <v>350</v>
      </c>
      <c r="U68" s="1070">
        <v>350</v>
      </c>
      <c r="V68" s="1073">
        <v>350</v>
      </c>
      <c r="W68" s="1073">
        <v>350</v>
      </c>
      <c r="X68" s="1073">
        <v>350</v>
      </c>
      <c r="Y68" s="1073">
        <v>350</v>
      </c>
      <c r="Z68" s="1073">
        <v>350</v>
      </c>
      <c r="AA68" s="1073">
        <v>350</v>
      </c>
      <c r="AB68" s="1073">
        <v>350</v>
      </c>
      <c r="AC68" s="1069">
        <v>350</v>
      </c>
      <c r="AD68" s="1069">
        <v>350</v>
      </c>
      <c r="AE68" s="1069">
        <v>366.66666666666669</v>
      </c>
      <c r="AF68" s="1069">
        <v>366.66666666666669</v>
      </c>
      <c r="AG68" s="1068"/>
      <c r="AH68" s="1068">
        <f t="shared" si="1"/>
        <v>0</v>
      </c>
      <c r="AI68" s="1067"/>
    </row>
    <row r="69" spans="1:35" outlineLevel="2">
      <c r="A69" s="999"/>
      <c r="B69" s="1955" t="s">
        <v>1983</v>
      </c>
      <c r="C69" s="1955"/>
      <c r="D69" s="1955"/>
      <c r="E69" s="1955"/>
      <c r="F69" s="1020">
        <f>+F70+F74</f>
        <v>49430.208458000008</v>
      </c>
      <c r="G69" s="1019">
        <f>+G70+G74</f>
        <v>9.981730444209868E-3</v>
      </c>
      <c r="H69" s="1051"/>
      <c r="I69" s="1051"/>
      <c r="J69" s="1051"/>
      <c r="K69" s="1051"/>
      <c r="L69" s="1051"/>
      <c r="M69" s="1068"/>
      <c r="N69" s="1068"/>
      <c r="O69" s="1068"/>
      <c r="P69" s="1068"/>
      <c r="Q69" s="1068"/>
      <c r="R69" s="1068"/>
      <c r="S69" s="1068"/>
      <c r="T69" s="1068"/>
      <c r="U69" s="705"/>
      <c r="V69" s="705"/>
      <c r="W69" s="705"/>
      <c r="X69" s="705"/>
      <c r="Y69" s="705"/>
      <c r="Z69" s="705"/>
      <c r="AA69" s="705"/>
      <c r="AB69" s="705"/>
      <c r="AC69" s="1069"/>
      <c r="AD69" s="1069"/>
      <c r="AE69" s="1069"/>
      <c r="AF69" s="1069"/>
      <c r="AG69" s="1068"/>
      <c r="AH69" s="1068">
        <f t="shared" si="1"/>
        <v>0</v>
      </c>
    </row>
    <row r="70" spans="1:35" outlineLevel="3">
      <c r="A70" s="999"/>
      <c r="B70" s="999"/>
      <c r="C70" s="1956" t="s">
        <v>1686</v>
      </c>
      <c r="D70" s="1956"/>
      <c r="E70" s="1956"/>
      <c r="F70" s="998">
        <f>SUM(F71:F73)</f>
        <v>24609.465118000004</v>
      </c>
      <c r="G70" s="997">
        <f>SUM(G71:G73)</f>
        <v>4.9695328999630204E-3</v>
      </c>
      <c r="H70" s="1051"/>
      <c r="I70" s="1051"/>
      <c r="J70" s="1051"/>
      <c r="K70" s="1051"/>
      <c r="L70" s="1051"/>
      <c r="M70" s="1068"/>
      <c r="N70" s="1068"/>
      <c r="O70" s="1068"/>
      <c r="P70" s="1068"/>
      <c r="Q70" s="1068"/>
      <c r="R70" s="1068"/>
      <c r="S70" s="1068"/>
      <c r="T70" s="1068"/>
      <c r="U70" s="705"/>
      <c r="V70" s="705"/>
      <c r="W70" s="705"/>
      <c r="X70" s="705"/>
      <c r="Y70" s="705"/>
      <c r="Z70" s="705"/>
      <c r="AA70" s="705"/>
      <c r="AB70" s="705"/>
      <c r="AC70" s="1069"/>
      <c r="AD70" s="1069"/>
      <c r="AE70" s="1069"/>
      <c r="AF70" s="1069"/>
      <c r="AG70" s="1068"/>
      <c r="AH70" s="1068">
        <f t="shared" si="1"/>
        <v>0</v>
      </c>
    </row>
    <row r="71" spans="1:35" s="1010" customFormat="1" outlineLevel="4">
      <c r="A71" s="999"/>
      <c r="B71" s="999"/>
      <c r="C71" s="999"/>
      <c r="D71" s="1015">
        <f>+D68+1</f>
        <v>54</v>
      </c>
      <c r="E71" s="1014" t="s">
        <v>1982</v>
      </c>
      <c r="F71" s="1046">
        <f>+'[10]7'!$P$109-500</f>
        <v>16032.595000000001</v>
      </c>
      <c r="G71" s="987">
        <f>+F71/$F$332</f>
        <v>3.2375554666568772E-3</v>
      </c>
      <c r="H71" s="1070">
        <v>3500</v>
      </c>
      <c r="I71" s="1070">
        <v>3500</v>
      </c>
      <c r="J71" s="1070">
        <v>3700</v>
      </c>
      <c r="K71" s="1070">
        <v>3600</v>
      </c>
      <c r="L71" s="1070">
        <v>3600</v>
      </c>
      <c r="M71" s="1068">
        <v>3600</v>
      </c>
      <c r="N71" s="1068">
        <v>3600</v>
      </c>
      <c r="O71" s="1068">
        <v>3600</v>
      </c>
      <c r="P71" s="1068">
        <v>3500</v>
      </c>
      <c r="Q71" s="1068">
        <v>3500</v>
      </c>
      <c r="R71" s="1068">
        <v>3500</v>
      </c>
      <c r="S71" s="1068">
        <v>3500</v>
      </c>
      <c r="T71" s="1068">
        <v>3633</v>
      </c>
      <c r="U71" s="1073">
        <v>3800</v>
      </c>
      <c r="V71" s="1073">
        <v>3800</v>
      </c>
      <c r="W71" s="1073">
        <v>3800</v>
      </c>
      <c r="X71" s="1073">
        <v>3800</v>
      </c>
      <c r="Y71" s="1073">
        <v>3800</v>
      </c>
      <c r="Z71" s="1073">
        <v>3800</v>
      </c>
      <c r="AA71" s="1073">
        <v>3800</v>
      </c>
      <c r="AB71" s="1073">
        <v>3800</v>
      </c>
      <c r="AC71" s="1069">
        <v>3800</v>
      </c>
      <c r="AD71" s="1069">
        <v>3800</v>
      </c>
      <c r="AE71" s="1069">
        <v>3800</v>
      </c>
      <c r="AF71" s="1069">
        <v>3866.6666666666665</v>
      </c>
      <c r="AG71" s="1068"/>
      <c r="AH71" s="1068">
        <f t="shared" si="1"/>
        <v>66.666666666666515</v>
      </c>
      <c r="AI71" s="1067"/>
    </row>
    <row r="72" spans="1:35" s="1010" customFormat="1" outlineLevel="4">
      <c r="A72" s="999"/>
      <c r="B72" s="999"/>
      <c r="C72" s="999"/>
      <c r="D72" s="1015">
        <f>+D71+1</f>
        <v>55</v>
      </c>
      <c r="E72" s="1014" t="s">
        <v>1981</v>
      </c>
      <c r="F72" s="1046">
        <f>+'[10]7'!$P$110+'[10]7'!$P$113</f>
        <v>7463.6122400000004</v>
      </c>
      <c r="G72" s="987">
        <f>+F72/$F$332</f>
        <v>1.5071707735783994E-3</v>
      </c>
      <c r="H72" s="1070">
        <v>1067</v>
      </c>
      <c r="I72" s="1070">
        <v>1067</v>
      </c>
      <c r="J72" s="1070">
        <v>1067</v>
      </c>
      <c r="K72" s="1070">
        <v>1067</v>
      </c>
      <c r="L72" s="1070">
        <v>1067</v>
      </c>
      <c r="M72" s="1068">
        <v>1067</v>
      </c>
      <c r="N72" s="1068">
        <v>1067</v>
      </c>
      <c r="O72" s="1068">
        <v>1067</v>
      </c>
      <c r="P72" s="1068">
        <v>1033</v>
      </c>
      <c r="Q72" s="1068">
        <v>1033</v>
      </c>
      <c r="R72" s="1068">
        <v>1033</v>
      </c>
      <c r="S72" s="1068">
        <v>1033</v>
      </c>
      <c r="T72" s="1068">
        <v>1067</v>
      </c>
      <c r="U72" s="1073">
        <v>1100</v>
      </c>
      <c r="V72" s="1073">
        <v>1100</v>
      </c>
      <c r="W72" s="1073">
        <v>1100</v>
      </c>
      <c r="X72" s="1073">
        <v>1100</v>
      </c>
      <c r="Y72" s="1073">
        <v>1100</v>
      </c>
      <c r="Z72" s="1073">
        <v>1000</v>
      </c>
      <c r="AA72" s="1073">
        <v>1000</v>
      </c>
      <c r="AB72" s="1073">
        <v>1000</v>
      </c>
      <c r="AC72" s="1069">
        <v>1000</v>
      </c>
      <c r="AD72" s="1069">
        <v>1000</v>
      </c>
      <c r="AE72" s="1069">
        <v>1033.3333333333333</v>
      </c>
      <c r="AF72" s="1069">
        <v>1033.3333333333333</v>
      </c>
      <c r="AG72" s="1068"/>
      <c r="AH72" s="1068">
        <f t="shared" ref="AH72:AH135" si="9">+AF72-AE72</f>
        <v>0</v>
      </c>
      <c r="AI72" s="1067"/>
    </row>
    <row r="73" spans="1:35" s="1010" customFormat="1" outlineLevel="4">
      <c r="A73" s="999"/>
      <c r="B73" s="999"/>
      <c r="C73" s="999"/>
      <c r="D73" s="1015">
        <f>+D72+1</f>
        <v>56</v>
      </c>
      <c r="E73" s="1045" t="s">
        <v>1980</v>
      </c>
      <c r="F73" s="1046">
        <f>+'[10]7'!$P$111+'[10]7'!$P$112+500</f>
        <v>1113.2578779999999</v>
      </c>
      <c r="G73" s="987">
        <f>+F73/$F$332</f>
        <v>2.2480665972774425E-4</v>
      </c>
      <c r="H73" s="1070">
        <v>123</v>
      </c>
      <c r="I73" s="1070">
        <v>123</v>
      </c>
      <c r="J73" s="1070">
        <v>157</v>
      </c>
      <c r="K73" s="1070">
        <v>153</v>
      </c>
      <c r="L73" s="1070">
        <v>153</v>
      </c>
      <c r="M73" s="1068">
        <v>153</v>
      </c>
      <c r="N73" s="1068">
        <v>170</v>
      </c>
      <c r="O73" s="1068">
        <v>170</v>
      </c>
      <c r="P73" s="1068">
        <v>170</v>
      </c>
      <c r="Q73" s="1068">
        <v>170</v>
      </c>
      <c r="R73" s="1068">
        <v>170</v>
      </c>
      <c r="S73" s="1068">
        <v>170</v>
      </c>
      <c r="T73" s="1068">
        <v>170</v>
      </c>
      <c r="U73" s="1073">
        <v>200</v>
      </c>
      <c r="V73" s="1073">
        <v>220</v>
      </c>
      <c r="W73" s="1073">
        <v>250</v>
      </c>
      <c r="X73" s="1073">
        <v>230</v>
      </c>
      <c r="Y73" s="1073">
        <v>200</v>
      </c>
      <c r="Z73" s="1073">
        <v>200</v>
      </c>
      <c r="AA73" s="1073">
        <v>200</v>
      </c>
      <c r="AB73" s="1073">
        <v>200</v>
      </c>
      <c r="AC73" s="1069">
        <v>200</v>
      </c>
      <c r="AD73" s="1069">
        <v>200</v>
      </c>
      <c r="AE73" s="1069">
        <v>200</v>
      </c>
      <c r="AF73" s="1069">
        <v>200</v>
      </c>
      <c r="AG73" s="1068"/>
      <c r="AH73" s="1068">
        <f t="shared" si="9"/>
        <v>0</v>
      </c>
      <c r="AI73" s="1067"/>
    </row>
    <row r="74" spans="1:35" outlineLevel="3">
      <c r="A74" s="999"/>
      <c r="B74" s="999"/>
      <c r="C74" s="1027" t="s">
        <v>1685</v>
      </c>
      <c r="D74" s="1027"/>
      <c r="E74" s="1027"/>
      <c r="F74" s="998">
        <f>SUM(F75:F76)</f>
        <v>24820.743340000001</v>
      </c>
      <c r="G74" s="997">
        <f>SUM(G75:G76)</f>
        <v>5.0121975442468467E-3</v>
      </c>
      <c r="H74" s="1051"/>
      <c r="I74" s="1051"/>
      <c r="J74" s="1051"/>
      <c r="K74" s="1051"/>
      <c r="L74" s="1051"/>
      <c r="M74" s="1068"/>
      <c r="N74" s="1068"/>
      <c r="O74" s="1068"/>
      <c r="P74" s="1068"/>
      <c r="Q74" s="1068"/>
      <c r="R74" s="1068"/>
      <c r="S74" s="1068"/>
      <c r="T74" s="1068"/>
      <c r="U74" s="705"/>
      <c r="V74" s="705"/>
      <c r="W74" s="705"/>
      <c r="X74" s="705"/>
      <c r="Y74" s="705"/>
      <c r="Z74" s="705"/>
      <c r="AA74" s="705"/>
      <c r="AB74" s="705"/>
      <c r="AC74" s="1069"/>
      <c r="AD74" s="1069"/>
      <c r="AE74" s="1069"/>
      <c r="AF74" s="1069"/>
      <c r="AG74" s="1068"/>
      <c r="AH74" s="1068">
        <f t="shared" si="9"/>
        <v>0</v>
      </c>
    </row>
    <row r="75" spans="1:35" s="1010" customFormat="1" outlineLevel="4">
      <c r="A75" s="999"/>
      <c r="B75" s="999"/>
      <c r="C75" s="999"/>
      <c r="D75" s="1015">
        <f>+D73+1</f>
        <v>57</v>
      </c>
      <c r="E75" s="1045" t="s">
        <v>1979</v>
      </c>
      <c r="F75" s="1046">
        <f>+'[10]7'!$P$115</f>
        <v>12459.174769999998</v>
      </c>
      <c r="G75" s="987">
        <f>+F75/$F$332</f>
        <v>2.5159538668972133E-3</v>
      </c>
      <c r="H75" s="1070">
        <v>817</v>
      </c>
      <c r="I75" s="1070">
        <v>817</v>
      </c>
      <c r="J75" s="1070">
        <v>817</v>
      </c>
      <c r="K75" s="1070">
        <v>817</v>
      </c>
      <c r="L75" s="1070">
        <v>817</v>
      </c>
      <c r="M75" s="1068">
        <v>817</v>
      </c>
      <c r="N75" s="1068">
        <v>817</v>
      </c>
      <c r="O75" s="1068">
        <v>817</v>
      </c>
      <c r="P75" s="1068">
        <v>817</v>
      </c>
      <c r="Q75" s="1068">
        <v>817</v>
      </c>
      <c r="R75" s="1068">
        <v>817</v>
      </c>
      <c r="S75" s="1068">
        <v>817</v>
      </c>
      <c r="T75" s="1068">
        <v>817</v>
      </c>
      <c r="U75" s="1073">
        <v>850</v>
      </c>
      <c r="V75" s="1073">
        <v>900</v>
      </c>
      <c r="W75" s="1073">
        <v>1050</v>
      </c>
      <c r="X75" s="1073">
        <v>1200</v>
      </c>
      <c r="Y75" s="1073">
        <v>1200</v>
      </c>
      <c r="Z75" s="1073">
        <v>1400</v>
      </c>
      <c r="AA75" s="1073">
        <v>1400</v>
      </c>
      <c r="AB75" s="1073">
        <v>1500</v>
      </c>
      <c r="AC75" s="1069">
        <v>1500</v>
      </c>
      <c r="AD75" s="1069">
        <v>1500</v>
      </c>
      <c r="AE75" s="1069">
        <v>1533.3333333333333</v>
      </c>
      <c r="AF75" s="1069">
        <v>1566.6666666666667</v>
      </c>
      <c r="AG75" s="1068"/>
      <c r="AH75" s="1068">
        <f t="shared" si="9"/>
        <v>33.333333333333485</v>
      </c>
      <c r="AI75" s="1067"/>
    </row>
    <row r="76" spans="1:35" s="1010" customFormat="1" outlineLevel="4">
      <c r="A76" s="999"/>
      <c r="B76" s="999"/>
      <c r="C76" s="999"/>
      <c r="D76" s="1015">
        <f>+D75+1</f>
        <v>58</v>
      </c>
      <c r="E76" s="1017" t="s">
        <v>1978</v>
      </c>
      <c r="F76" s="1046">
        <f>+'[10]7'!$P$114+SUM('[10]7'!$P$116:$P$117)+'[10]7'!$P$99</f>
        <v>12361.568570000003</v>
      </c>
      <c r="G76" s="987">
        <f>+F76/$F$332</f>
        <v>2.496243677349633E-3</v>
      </c>
      <c r="H76" s="1070">
        <v>1233</v>
      </c>
      <c r="I76" s="1070">
        <v>1233</v>
      </c>
      <c r="J76" s="1070">
        <v>1317</v>
      </c>
      <c r="K76" s="1070">
        <v>1317</v>
      </c>
      <c r="L76" s="1070">
        <v>1317</v>
      </c>
      <c r="M76" s="1068">
        <v>1383</v>
      </c>
      <c r="N76" s="1068">
        <v>1383</v>
      </c>
      <c r="O76" s="1068">
        <v>1383</v>
      </c>
      <c r="P76" s="1068">
        <v>1283</v>
      </c>
      <c r="Q76" s="1068">
        <v>1283</v>
      </c>
      <c r="R76" s="1068">
        <v>1283</v>
      </c>
      <c r="S76" s="1068">
        <v>1283</v>
      </c>
      <c r="T76" s="1068">
        <v>1283</v>
      </c>
      <c r="U76" s="1073">
        <v>1350</v>
      </c>
      <c r="V76" s="1073">
        <v>1300</v>
      </c>
      <c r="W76" s="1073">
        <v>1300</v>
      </c>
      <c r="X76" s="1073">
        <v>1300</v>
      </c>
      <c r="Y76" s="1073">
        <v>1300</v>
      </c>
      <c r="Z76" s="1073">
        <v>1450</v>
      </c>
      <c r="AA76" s="1073">
        <v>1500</v>
      </c>
      <c r="AB76" s="1073">
        <v>1600</v>
      </c>
      <c r="AC76" s="1069">
        <v>1500</v>
      </c>
      <c r="AD76" s="1069">
        <v>1500</v>
      </c>
      <c r="AE76" s="1069">
        <v>1500</v>
      </c>
      <c r="AF76" s="1069">
        <v>1520</v>
      </c>
      <c r="AG76" s="1068"/>
      <c r="AH76" s="1068">
        <f t="shared" si="9"/>
        <v>20</v>
      </c>
      <c r="AI76" s="1067"/>
    </row>
    <row r="77" spans="1:35" outlineLevel="1">
      <c r="A77" s="1954" t="s">
        <v>1977</v>
      </c>
      <c r="B77" s="1954"/>
      <c r="C77" s="1954"/>
      <c r="D77" s="1954"/>
      <c r="E77" s="1954"/>
      <c r="F77" s="1023">
        <f>+F78+F84</f>
        <v>125800.48935000002</v>
      </c>
      <c r="G77" s="1022">
        <f>+G78+G84</f>
        <v>2.5403626923975985E-2</v>
      </c>
      <c r="H77" s="1051"/>
      <c r="I77" s="1051"/>
      <c r="J77" s="1051"/>
      <c r="K77" s="1051"/>
      <c r="L77" s="1051"/>
      <c r="M77" s="1068"/>
      <c r="N77" s="1068"/>
      <c r="O77" s="1068"/>
      <c r="P77" s="1068"/>
      <c r="Q77" s="1068"/>
      <c r="R77" s="1068"/>
      <c r="S77" s="1068"/>
      <c r="T77" s="1068"/>
      <c r="U77" s="705"/>
      <c r="V77" s="705"/>
      <c r="W77" s="705"/>
      <c r="X77" s="705"/>
      <c r="Y77" s="705"/>
      <c r="Z77" s="705"/>
      <c r="AA77" s="705"/>
      <c r="AB77" s="705"/>
      <c r="AC77" s="1069"/>
      <c r="AD77" s="1069"/>
      <c r="AE77" s="1069"/>
      <c r="AF77" s="1069"/>
      <c r="AG77" s="1068"/>
      <c r="AH77" s="1068">
        <f t="shared" si="9"/>
        <v>0</v>
      </c>
    </row>
    <row r="78" spans="1:35" outlineLevel="2">
      <c r="A78" s="999"/>
      <c r="B78" s="1028" t="s">
        <v>1976</v>
      </c>
      <c r="C78" s="1028"/>
      <c r="D78" s="1028"/>
      <c r="E78" s="999"/>
      <c r="F78" s="1020">
        <f>+F79+F82</f>
        <v>63346.724099999999</v>
      </c>
      <c r="G78" s="1019">
        <f>+G79+G82</f>
        <v>1.2791973657711677E-2</v>
      </c>
      <c r="H78" s="1051"/>
      <c r="I78" s="1051"/>
      <c r="J78" s="1051"/>
      <c r="K78" s="1051"/>
      <c r="L78" s="1051"/>
      <c r="M78" s="1068"/>
      <c r="N78" s="1068"/>
      <c r="O78" s="1068"/>
      <c r="P78" s="1068"/>
      <c r="Q78" s="1068"/>
      <c r="R78" s="1068"/>
      <c r="S78" s="1068"/>
      <c r="T78" s="1068"/>
      <c r="U78" s="705"/>
      <c r="V78" s="705"/>
      <c r="W78" s="705"/>
      <c r="X78" s="705"/>
      <c r="Y78" s="705"/>
      <c r="Z78" s="705"/>
      <c r="AA78" s="705"/>
      <c r="AB78" s="705"/>
      <c r="AC78" s="1069"/>
      <c r="AD78" s="1069"/>
      <c r="AE78" s="1069"/>
      <c r="AF78" s="1069"/>
      <c r="AG78" s="1068"/>
      <c r="AH78" s="1068">
        <f t="shared" si="9"/>
        <v>0</v>
      </c>
    </row>
    <row r="79" spans="1:35" outlineLevel="3">
      <c r="A79" s="999"/>
      <c r="B79" s="999"/>
      <c r="C79" s="1956" t="s">
        <v>1682</v>
      </c>
      <c r="D79" s="1956"/>
      <c r="E79" s="1956"/>
      <c r="F79" s="998">
        <f>SUM(F80:F81)</f>
        <v>59120.049200000001</v>
      </c>
      <c r="G79" s="997">
        <f>SUM(G80:G81)</f>
        <v>1.1938456530367262E-2</v>
      </c>
      <c r="H79" s="1051"/>
      <c r="I79" s="1051"/>
      <c r="J79" s="1051"/>
      <c r="K79" s="1051"/>
      <c r="L79" s="1051"/>
      <c r="M79" s="1068"/>
      <c r="N79" s="1068"/>
      <c r="O79" s="1068"/>
      <c r="P79" s="1068"/>
      <c r="Q79" s="1068"/>
      <c r="R79" s="1068"/>
      <c r="S79" s="1068"/>
      <c r="T79" s="1068"/>
      <c r="U79" s="705"/>
      <c r="V79" s="705"/>
      <c r="W79" s="705"/>
      <c r="X79" s="705"/>
      <c r="Y79" s="705"/>
      <c r="Z79" s="705"/>
      <c r="AA79" s="705"/>
      <c r="AB79" s="705"/>
      <c r="AC79" s="1069"/>
      <c r="AD79" s="1069"/>
      <c r="AE79" s="1069"/>
      <c r="AF79" s="1069"/>
      <c r="AG79" s="1068"/>
      <c r="AH79" s="1068">
        <f t="shared" si="9"/>
        <v>0</v>
      </c>
    </row>
    <row r="80" spans="1:35" s="1010" customFormat="1" outlineLevel="4">
      <c r="A80" s="999"/>
      <c r="B80" s="999"/>
      <c r="C80" s="999"/>
      <c r="D80" s="1015">
        <f>+D76+1</f>
        <v>59</v>
      </c>
      <c r="E80" s="1017" t="s">
        <v>1975</v>
      </c>
      <c r="F80" s="1046">
        <f>+'[10]7'!$P$118+'[10]7'!$P$120-20386</f>
        <v>35472.5173</v>
      </c>
      <c r="G80" s="987">
        <f>+F80/$F$332</f>
        <v>7.1631724184822001E-3</v>
      </c>
      <c r="H80" s="1070">
        <v>4433</v>
      </c>
      <c r="I80" s="1070">
        <v>4433</v>
      </c>
      <c r="J80" s="1070">
        <v>4450</v>
      </c>
      <c r="K80" s="1070">
        <v>4450</v>
      </c>
      <c r="L80" s="1070">
        <v>4500</v>
      </c>
      <c r="M80" s="1068">
        <v>4500</v>
      </c>
      <c r="N80" s="1068">
        <v>4500</v>
      </c>
      <c r="O80" s="1068">
        <v>4500</v>
      </c>
      <c r="P80" s="1068">
        <v>4500</v>
      </c>
      <c r="Q80" s="1068">
        <v>4500</v>
      </c>
      <c r="R80" s="1068">
        <v>4500</v>
      </c>
      <c r="S80" s="1068">
        <v>4500</v>
      </c>
      <c r="T80" s="1068">
        <v>4500</v>
      </c>
      <c r="U80" s="1073">
        <v>4500</v>
      </c>
      <c r="V80" s="1073">
        <v>4500</v>
      </c>
      <c r="W80" s="1073">
        <v>4500</v>
      </c>
      <c r="X80" s="1073">
        <v>4500</v>
      </c>
      <c r="Y80" s="1073">
        <v>4500</v>
      </c>
      <c r="Z80" s="1073">
        <v>4500</v>
      </c>
      <c r="AA80" s="1073">
        <v>4500</v>
      </c>
      <c r="AB80" s="1073">
        <v>4500</v>
      </c>
      <c r="AC80" s="1069">
        <v>7000</v>
      </c>
      <c r="AD80" s="1069">
        <v>7000</v>
      </c>
      <c r="AE80" s="1069">
        <v>6700</v>
      </c>
      <c r="AF80" s="1069">
        <v>6766.666666666667</v>
      </c>
      <c r="AG80" s="1068"/>
      <c r="AH80" s="1068">
        <f t="shared" si="9"/>
        <v>66.66666666666697</v>
      </c>
      <c r="AI80" s="1069"/>
    </row>
    <row r="81" spans="1:35" s="1010" customFormat="1" outlineLevel="4">
      <c r="A81" s="999"/>
      <c r="B81" s="999"/>
      <c r="C81" s="999"/>
      <c r="D81" s="1015">
        <f>+D80+1</f>
        <v>60</v>
      </c>
      <c r="E81" s="1045" t="s">
        <v>1974</v>
      </c>
      <c r="F81" s="1046">
        <f>+SUM('[10]7'!$P$122:$P$123)+20386</f>
        <v>23647.531900000002</v>
      </c>
      <c r="G81" s="987">
        <f>+F81/$F$332</f>
        <v>4.7752841118850623E-3</v>
      </c>
      <c r="H81" s="1070">
        <v>3500</v>
      </c>
      <c r="I81" s="1070">
        <v>3500</v>
      </c>
      <c r="J81" s="1070">
        <v>3500</v>
      </c>
      <c r="K81" s="1070">
        <v>3500</v>
      </c>
      <c r="L81" s="1070">
        <v>3500</v>
      </c>
      <c r="M81" s="1068">
        <v>3500</v>
      </c>
      <c r="N81" s="1068">
        <v>3500</v>
      </c>
      <c r="O81" s="1068">
        <v>3500</v>
      </c>
      <c r="P81" s="1068">
        <v>3500</v>
      </c>
      <c r="Q81" s="1068">
        <v>3500</v>
      </c>
      <c r="R81" s="1068">
        <v>3500</v>
      </c>
      <c r="S81" s="1068">
        <v>3500</v>
      </c>
      <c r="T81" s="1068">
        <v>3500</v>
      </c>
      <c r="U81" s="1073">
        <v>3500</v>
      </c>
      <c r="V81" s="1073">
        <v>3500</v>
      </c>
      <c r="W81" s="1073">
        <v>3500</v>
      </c>
      <c r="X81" s="1073">
        <v>3500</v>
      </c>
      <c r="Y81" s="1073">
        <v>3500</v>
      </c>
      <c r="Z81" s="1073">
        <v>3500</v>
      </c>
      <c r="AA81" s="1073">
        <v>3500</v>
      </c>
      <c r="AB81" s="1073">
        <v>3500</v>
      </c>
      <c r="AC81" s="1069">
        <v>3500</v>
      </c>
      <c r="AD81" s="1069">
        <v>5500</v>
      </c>
      <c r="AE81" s="1069">
        <v>5500</v>
      </c>
      <c r="AF81" s="1069">
        <v>5333.333333333333</v>
      </c>
      <c r="AG81" s="1068"/>
      <c r="AH81" s="1068">
        <f t="shared" si="9"/>
        <v>-166.66666666666697</v>
      </c>
      <c r="AI81" s="1069"/>
    </row>
    <row r="82" spans="1:35" outlineLevel="3">
      <c r="A82" s="999"/>
      <c r="B82" s="999"/>
      <c r="C82" s="1956" t="s">
        <v>1681</v>
      </c>
      <c r="D82" s="1956"/>
      <c r="E82" s="1956"/>
      <c r="F82" s="998">
        <f>SUM(F83)</f>
        <v>4226.6749</v>
      </c>
      <c r="G82" s="997">
        <f>SUM(G83)</f>
        <v>8.5351712734441359E-4</v>
      </c>
      <c r="H82" s="1051"/>
      <c r="I82" s="1051"/>
      <c r="J82" s="1051"/>
      <c r="K82" s="1051"/>
      <c r="L82" s="1051"/>
      <c r="M82" s="1068"/>
      <c r="N82" s="1068"/>
      <c r="O82" s="1068"/>
      <c r="P82" s="1068"/>
      <c r="Q82" s="1068"/>
      <c r="R82" s="1068"/>
      <c r="S82" s="1068"/>
      <c r="T82" s="1068"/>
      <c r="U82" s="705"/>
      <c r="V82" s="705"/>
      <c r="W82" s="705"/>
      <c r="X82" s="705"/>
      <c r="Y82" s="705"/>
      <c r="Z82" s="705"/>
      <c r="AA82" s="705"/>
      <c r="AB82" s="705"/>
      <c r="AC82" s="1069"/>
      <c r="AD82" s="1069"/>
      <c r="AE82" s="1069"/>
      <c r="AF82" s="1069"/>
      <c r="AG82" s="1068"/>
      <c r="AH82" s="1068">
        <f t="shared" si="9"/>
        <v>0</v>
      </c>
      <c r="AI82" s="1069"/>
    </row>
    <row r="83" spans="1:35" s="1010" customFormat="1" outlineLevel="4">
      <c r="A83" s="999"/>
      <c r="B83" s="999"/>
      <c r="C83" s="999"/>
      <c r="D83" s="1015">
        <f>+D81+1</f>
        <v>61</v>
      </c>
      <c r="E83" s="1017" t="s">
        <v>1973</v>
      </c>
      <c r="F83" s="1046">
        <f>'[10]7'!$P$119+'[10]7'!$P$121</f>
        <v>4226.6749</v>
      </c>
      <c r="G83" s="987">
        <f>+F83/$F$332</f>
        <v>8.5351712734441359E-4</v>
      </c>
      <c r="H83" s="1070">
        <v>1500</v>
      </c>
      <c r="I83" s="1070">
        <v>1500</v>
      </c>
      <c r="J83" s="1070">
        <v>1450</v>
      </c>
      <c r="K83" s="1070">
        <v>1450</v>
      </c>
      <c r="L83" s="1070">
        <v>1450</v>
      </c>
      <c r="M83" s="1070">
        <v>1450</v>
      </c>
      <c r="N83" s="1070">
        <v>1450</v>
      </c>
      <c r="O83" s="1070">
        <v>1450</v>
      </c>
      <c r="P83" s="1070">
        <v>1450</v>
      </c>
      <c r="Q83" s="1070">
        <v>1450</v>
      </c>
      <c r="R83" s="1070">
        <v>1450</v>
      </c>
      <c r="S83" s="1070">
        <v>1450</v>
      </c>
      <c r="T83" s="1070">
        <v>1450</v>
      </c>
      <c r="U83" s="1070">
        <v>1450</v>
      </c>
      <c r="V83" s="1073">
        <v>1480</v>
      </c>
      <c r="W83" s="1073">
        <v>1350</v>
      </c>
      <c r="X83" s="1073">
        <v>1350</v>
      </c>
      <c r="Y83" s="1073">
        <v>1300</v>
      </c>
      <c r="Z83" s="1073">
        <v>1250</v>
      </c>
      <c r="AA83" s="1073">
        <v>1250</v>
      </c>
      <c r="AB83" s="1073">
        <v>1200</v>
      </c>
      <c r="AC83" s="1069">
        <v>1200</v>
      </c>
      <c r="AD83" s="1069">
        <v>1200</v>
      </c>
      <c r="AE83" s="1069">
        <v>1200</v>
      </c>
      <c r="AF83" s="1069">
        <v>1200</v>
      </c>
      <c r="AG83" s="1068"/>
      <c r="AH83" s="1068">
        <f t="shared" si="9"/>
        <v>0</v>
      </c>
      <c r="AI83" s="1069"/>
    </row>
    <row r="84" spans="1:35" outlineLevel="2">
      <c r="A84" s="999"/>
      <c r="B84" s="1043" t="s">
        <v>1972</v>
      </c>
      <c r="C84" s="999"/>
      <c r="D84" s="1030"/>
      <c r="E84" s="999"/>
      <c r="F84" s="1020">
        <f>+F85</f>
        <v>62453.765250000011</v>
      </c>
      <c r="G84" s="1019">
        <f>+G85</f>
        <v>1.2611653266264308E-2</v>
      </c>
      <c r="H84" s="1051"/>
      <c r="I84" s="1051"/>
      <c r="J84" s="1051"/>
      <c r="K84" s="1051"/>
      <c r="L84" s="1051"/>
      <c r="M84" s="1068"/>
      <c r="N84" s="1068"/>
      <c r="O84" s="1068"/>
      <c r="P84" s="1068"/>
      <c r="Q84" s="1068"/>
      <c r="R84" s="1068"/>
      <c r="S84" s="1068"/>
      <c r="T84" s="1068"/>
      <c r="U84" s="705"/>
      <c r="V84" s="705"/>
      <c r="W84" s="705"/>
      <c r="X84" s="705"/>
      <c r="Y84" s="705"/>
      <c r="Z84" s="705"/>
      <c r="AA84" s="705"/>
      <c r="AB84" s="705"/>
      <c r="AC84" s="1069"/>
      <c r="AD84" s="1069"/>
      <c r="AE84" s="1069"/>
      <c r="AF84" s="1069"/>
      <c r="AG84" s="1068"/>
      <c r="AH84" s="1068">
        <f t="shared" si="9"/>
        <v>0</v>
      </c>
      <c r="AI84" s="1069"/>
    </row>
    <row r="85" spans="1:35" outlineLevel="3">
      <c r="A85" s="999"/>
      <c r="B85" s="999"/>
      <c r="C85" s="1027" t="s">
        <v>1971</v>
      </c>
      <c r="D85" s="1027"/>
      <c r="E85" s="999"/>
      <c r="F85" s="998">
        <f>SUM(F86:F87)</f>
        <v>62453.765250000011</v>
      </c>
      <c r="G85" s="997">
        <f>SUM(G86:G87)</f>
        <v>1.2611653266264308E-2</v>
      </c>
      <c r="H85" s="1051"/>
      <c r="I85" s="1051"/>
      <c r="J85" s="1051"/>
      <c r="K85" s="1051"/>
      <c r="L85" s="1051"/>
      <c r="M85" s="1068"/>
      <c r="N85" s="1068"/>
      <c r="O85" s="1068"/>
      <c r="P85" s="1068"/>
      <c r="Q85" s="1068"/>
      <c r="R85" s="1068"/>
      <c r="S85" s="1068"/>
      <c r="T85" s="1068"/>
      <c r="U85" s="705"/>
      <c r="V85" s="705"/>
      <c r="W85" s="705"/>
      <c r="X85" s="705"/>
      <c r="Y85" s="705"/>
      <c r="Z85" s="705"/>
      <c r="AA85" s="705"/>
      <c r="AB85" s="705"/>
      <c r="AC85" s="1069"/>
      <c r="AD85" s="1069"/>
      <c r="AE85" s="1069"/>
      <c r="AF85" s="1069"/>
      <c r="AG85" s="1068"/>
      <c r="AH85" s="1068">
        <f t="shared" si="9"/>
        <v>0</v>
      </c>
      <c r="AI85" s="1069"/>
    </row>
    <row r="86" spans="1:35" s="1010" customFormat="1" outlineLevel="4">
      <c r="A86" s="999"/>
      <c r="B86" s="999"/>
      <c r="C86" s="999"/>
      <c r="D86" s="1015">
        <f>+D83+1</f>
        <v>62</v>
      </c>
      <c r="E86" s="1014" t="s">
        <v>1970</v>
      </c>
      <c r="F86" s="1046">
        <f>+'[10]7'!$P$124+'[10]7'!$P$126</f>
        <v>13315.789250000002</v>
      </c>
      <c r="G86" s="987">
        <f>+F86/$F$332</f>
        <v>2.6889350276226884E-3</v>
      </c>
      <c r="H86" s="1070">
        <v>1300</v>
      </c>
      <c r="I86" s="1070">
        <v>1300</v>
      </c>
      <c r="J86" s="1070">
        <v>1300</v>
      </c>
      <c r="K86" s="1070">
        <v>1300</v>
      </c>
      <c r="L86" s="1070">
        <v>1300</v>
      </c>
      <c r="M86" s="1070">
        <v>1300</v>
      </c>
      <c r="N86" s="1070">
        <v>1300</v>
      </c>
      <c r="O86" s="1070">
        <v>1300</v>
      </c>
      <c r="P86" s="1070">
        <v>1300</v>
      </c>
      <c r="Q86" s="1070">
        <v>1300</v>
      </c>
      <c r="R86" s="1070">
        <v>1300</v>
      </c>
      <c r="S86" s="1070">
        <v>1300</v>
      </c>
      <c r="T86" s="1070">
        <v>1300</v>
      </c>
      <c r="U86" s="1070">
        <v>1300</v>
      </c>
      <c r="V86" s="1073">
        <v>1320</v>
      </c>
      <c r="W86" s="1073">
        <v>1300</v>
      </c>
      <c r="X86" s="1073">
        <v>1300</v>
      </c>
      <c r="Y86" s="1073">
        <v>1300</v>
      </c>
      <c r="Z86" s="1073">
        <v>1300</v>
      </c>
      <c r="AA86" s="1073">
        <v>1300</v>
      </c>
      <c r="AB86" s="1073">
        <v>1300</v>
      </c>
      <c r="AC86" s="1069">
        <v>1700</v>
      </c>
      <c r="AD86" s="1069">
        <v>1900</v>
      </c>
      <c r="AE86" s="1069">
        <v>1900</v>
      </c>
      <c r="AF86" s="1069">
        <v>1933.3333333333333</v>
      </c>
      <c r="AG86" s="1068"/>
      <c r="AH86" s="1068">
        <f t="shared" si="9"/>
        <v>33.333333333333258</v>
      </c>
      <c r="AI86" s="1069"/>
    </row>
    <row r="87" spans="1:35" s="1010" customFormat="1" outlineLevel="4">
      <c r="A87" s="999"/>
      <c r="B87" s="999"/>
      <c r="C87" s="999"/>
      <c r="D87" s="1015">
        <f>+D86+1</f>
        <v>63</v>
      </c>
      <c r="E87" s="1017" t="s">
        <v>1969</v>
      </c>
      <c r="F87" s="1046">
        <f>+'[10]7'!$P$125+SUM('[10]7'!$P$127:$P$128)</f>
        <v>49137.97600000001</v>
      </c>
      <c r="G87" s="987">
        <f>+F87/$F$332</f>
        <v>9.9227182386416191E-3</v>
      </c>
      <c r="H87" s="1070">
        <v>650</v>
      </c>
      <c r="I87" s="1070">
        <v>650</v>
      </c>
      <c r="J87" s="1070">
        <v>650</v>
      </c>
      <c r="K87" s="1070">
        <v>650</v>
      </c>
      <c r="L87" s="1070">
        <v>650</v>
      </c>
      <c r="M87" s="1070">
        <v>650</v>
      </c>
      <c r="N87" s="1070">
        <v>650</v>
      </c>
      <c r="O87" s="1068">
        <v>650</v>
      </c>
      <c r="P87" s="1068">
        <v>650</v>
      </c>
      <c r="Q87" s="1068">
        <v>650</v>
      </c>
      <c r="R87" s="1068">
        <v>650</v>
      </c>
      <c r="S87" s="1068">
        <v>650</v>
      </c>
      <c r="T87" s="1068">
        <v>650</v>
      </c>
      <c r="U87" s="1073">
        <v>700</v>
      </c>
      <c r="V87" s="1073">
        <v>700</v>
      </c>
      <c r="W87" s="1073">
        <v>700</v>
      </c>
      <c r="X87" s="1073">
        <v>700</v>
      </c>
      <c r="Y87" s="1073">
        <v>700</v>
      </c>
      <c r="Z87" s="1073">
        <v>700</v>
      </c>
      <c r="AA87" s="1073">
        <v>700</v>
      </c>
      <c r="AB87" s="1073">
        <v>700</v>
      </c>
      <c r="AC87" s="1069">
        <v>1000</v>
      </c>
      <c r="AD87" s="1069">
        <v>1200</v>
      </c>
      <c r="AE87" s="1069">
        <v>1300</v>
      </c>
      <c r="AF87" s="1069">
        <v>1366.6666666666667</v>
      </c>
      <c r="AG87" s="1068"/>
      <c r="AH87" s="1068">
        <f t="shared" si="9"/>
        <v>66.666666666666742</v>
      </c>
      <c r="AI87" s="1069"/>
    </row>
    <row r="88" spans="1:35" outlineLevel="1">
      <c r="A88" s="1025" t="s">
        <v>1968</v>
      </c>
      <c r="B88" s="1025"/>
      <c r="C88" s="1025"/>
      <c r="D88" s="1025"/>
      <c r="E88" s="999"/>
      <c r="F88" s="1023">
        <f>+F89+F130</f>
        <v>941155.95635999995</v>
      </c>
      <c r="G88" s="1022">
        <f>+G89+G130</f>
        <v>0.19005311438915529</v>
      </c>
      <c r="H88" s="1051"/>
      <c r="I88" s="1051"/>
      <c r="J88" s="1051"/>
      <c r="K88" s="1051"/>
      <c r="L88" s="1051"/>
      <c r="M88" s="1068"/>
      <c r="N88" s="1068"/>
      <c r="O88" s="1068"/>
      <c r="P88" s="1068"/>
      <c r="Q88" s="1068"/>
      <c r="R88" s="1068"/>
      <c r="S88" s="1068"/>
      <c r="T88" s="1068"/>
      <c r="U88" s="705"/>
      <c r="V88" s="705"/>
      <c r="W88" s="705"/>
      <c r="X88" s="705"/>
      <c r="Y88" s="705"/>
      <c r="Z88" s="705"/>
      <c r="AA88" s="705"/>
      <c r="AB88" s="705"/>
      <c r="AC88" s="1069"/>
      <c r="AD88" s="1069"/>
      <c r="AE88" s="1069"/>
      <c r="AF88" s="1069"/>
      <c r="AG88" s="1068"/>
      <c r="AH88" s="1068">
        <f t="shared" si="9"/>
        <v>0</v>
      </c>
    </row>
    <row r="89" spans="1:35" outlineLevel="2">
      <c r="A89" s="999"/>
      <c r="B89" s="1028" t="s">
        <v>1967</v>
      </c>
      <c r="C89" s="1028"/>
      <c r="D89" s="1028"/>
      <c r="E89" s="999"/>
      <c r="F89" s="1020">
        <f>+F90+F95+F126</f>
        <v>668705.27627399995</v>
      </c>
      <c r="G89" s="1019">
        <f>+G90+G95+G126</f>
        <v>0.13503555867176747</v>
      </c>
      <c r="H89" s="1051"/>
      <c r="I89" s="1051"/>
      <c r="J89" s="1051"/>
      <c r="K89" s="1051"/>
      <c r="L89" s="1051"/>
      <c r="M89" s="1068"/>
      <c r="N89" s="1068"/>
      <c r="O89" s="1068"/>
      <c r="P89" s="1068"/>
      <c r="Q89" s="1068"/>
      <c r="R89" s="1068"/>
      <c r="S89" s="1068"/>
      <c r="T89" s="1068"/>
      <c r="U89" s="705"/>
      <c r="V89" s="705"/>
      <c r="W89" s="705"/>
      <c r="X89" s="705"/>
      <c r="Y89" s="705"/>
      <c r="Z89" s="705"/>
      <c r="AA89" s="705"/>
      <c r="AB89" s="705"/>
      <c r="AC89" s="1069"/>
      <c r="AD89" s="1069"/>
      <c r="AE89" s="1069"/>
      <c r="AF89" s="1069"/>
      <c r="AG89" s="1068"/>
      <c r="AH89" s="1068">
        <f t="shared" si="9"/>
        <v>0</v>
      </c>
    </row>
    <row r="90" spans="1:35" outlineLevel="3">
      <c r="A90" s="999"/>
      <c r="B90" s="999"/>
      <c r="C90" s="1956" t="s">
        <v>1966</v>
      </c>
      <c r="D90" s="1956"/>
      <c r="E90" s="1956"/>
      <c r="F90" s="998">
        <f>SUM(F91:F94)</f>
        <v>36567.728061000002</v>
      </c>
      <c r="G90" s="997">
        <f>SUM(G91:G94)</f>
        <v>7.3843347185600719E-3</v>
      </c>
      <c r="H90" s="1051"/>
      <c r="I90" s="1051"/>
      <c r="J90" s="1051"/>
      <c r="K90" s="1051"/>
      <c r="L90" s="1051"/>
      <c r="M90" s="1068"/>
      <c r="N90" s="1068"/>
      <c r="O90" s="1068"/>
      <c r="P90" s="1068"/>
      <c r="Q90" s="1068"/>
      <c r="R90" s="1068"/>
      <c r="S90" s="1068"/>
      <c r="T90" s="1068"/>
      <c r="U90" s="705"/>
      <c r="V90" s="705"/>
      <c r="W90" s="705"/>
      <c r="X90" s="705"/>
      <c r="Y90" s="705"/>
      <c r="Z90" s="705"/>
      <c r="AA90" s="705"/>
      <c r="AB90" s="705"/>
      <c r="AC90" s="1069"/>
      <c r="AD90" s="1069"/>
      <c r="AE90" s="1069"/>
      <c r="AF90" s="1069"/>
      <c r="AG90" s="1068"/>
      <c r="AH90" s="1068">
        <f t="shared" si="9"/>
        <v>0</v>
      </c>
    </row>
    <row r="91" spans="1:35" s="1010" customFormat="1" outlineLevel="4">
      <c r="A91" s="999"/>
      <c r="B91" s="999"/>
      <c r="C91" s="999"/>
      <c r="D91" s="1015">
        <f>+D87+1</f>
        <v>64</v>
      </c>
      <c r="E91" s="1017" t="s">
        <v>1965</v>
      </c>
      <c r="F91" s="988">
        <f>+'[11]7'!$P$83+'[11]7'!$P$84+'[11]7'!$P$85</f>
        <v>3704.5252100000002</v>
      </c>
      <c r="G91" s="987">
        <f>+F91/$F$332</f>
        <v>7.480763934349814E-4</v>
      </c>
      <c r="H91" s="1070">
        <v>2600</v>
      </c>
      <c r="I91" s="1070">
        <v>2700</v>
      </c>
      <c r="J91" s="1070">
        <v>2667</v>
      </c>
      <c r="K91" s="1070">
        <v>2667</v>
      </c>
      <c r="L91" s="1070">
        <v>2867</v>
      </c>
      <c r="M91" s="1068">
        <v>2867</v>
      </c>
      <c r="N91" s="1068">
        <v>2867</v>
      </c>
      <c r="O91" s="1068">
        <v>2867</v>
      </c>
      <c r="P91" s="1068">
        <v>2867</v>
      </c>
      <c r="Q91" s="1068">
        <v>2867</v>
      </c>
      <c r="R91" s="1068">
        <v>2867</v>
      </c>
      <c r="S91" s="1068">
        <v>2867</v>
      </c>
      <c r="T91" s="1068">
        <v>2867</v>
      </c>
      <c r="U91" s="1073">
        <v>3000</v>
      </c>
      <c r="V91" s="1073">
        <v>3000</v>
      </c>
      <c r="W91" s="1073">
        <v>3500</v>
      </c>
      <c r="X91" s="1073">
        <v>4000</v>
      </c>
      <c r="Y91" s="1073">
        <v>4000</v>
      </c>
      <c r="Z91" s="1073">
        <v>4000</v>
      </c>
      <c r="AA91" s="1073">
        <v>4400</v>
      </c>
      <c r="AB91" s="1073">
        <v>4500</v>
      </c>
      <c r="AC91" s="1069">
        <v>4500</v>
      </c>
      <c r="AD91" s="1069">
        <v>4500</v>
      </c>
      <c r="AE91" s="1069">
        <v>4750</v>
      </c>
      <c r="AF91" s="1069">
        <v>4750</v>
      </c>
      <c r="AG91" s="1068"/>
      <c r="AH91" s="1068">
        <f t="shared" si="9"/>
        <v>0</v>
      </c>
      <c r="AI91" s="1067"/>
    </row>
    <row r="92" spans="1:35" s="1010" customFormat="1" outlineLevel="4">
      <c r="A92" s="999"/>
      <c r="B92" s="999"/>
      <c r="C92" s="999"/>
      <c r="D92" s="1015">
        <f>+D91+1</f>
        <v>65</v>
      </c>
      <c r="E92" s="1017" t="s">
        <v>1964</v>
      </c>
      <c r="F92" s="988">
        <f>+'[11]7'!$P$86+'[11]7'!$P$87</f>
        <v>5405.1868380000005</v>
      </c>
      <c r="G92" s="987">
        <f>+F92/$F$332</f>
        <v>1.091500920198427E-3</v>
      </c>
      <c r="H92" s="1070">
        <v>2533</v>
      </c>
      <c r="I92" s="1070">
        <v>2633</v>
      </c>
      <c r="J92" s="1070">
        <v>2533</v>
      </c>
      <c r="K92" s="1070">
        <v>2533</v>
      </c>
      <c r="L92" s="1070">
        <v>2533</v>
      </c>
      <c r="M92" s="1068">
        <v>2533</v>
      </c>
      <c r="N92" s="1068">
        <v>2533</v>
      </c>
      <c r="O92" s="1068">
        <v>2533</v>
      </c>
      <c r="P92" s="1068">
        <v>2800</v>
      </c>
      <c r="Q92" s="1068">
        <v>2800</v>
      </c>
      <c r="R92" s="1068">
        <v>2800</v>
      </c>
      <c r="S92" s="1068">
        <v>2800</v>
      </c>
      <c r="T92" s="1068">
        <v>2800</v>
      </c>
      <c r="U92" s="1073">
        <v>2800</v>
      </c>
      <c r="V92" s="1073">
        <v>3000</v>
      </c>
      <c r="W92" s="1073">
        <v>3000</v>
      </c>
      <c r="X92" s="1073">
        <v>3000</v>
      </c>
      <c r="Y92" s="1073">
        <v>3000</v>
      </c>
      <c r="Z92" s="1073">
        <v>3200</v>
      </c>
      <c r="AA92" s="1073">
        <v>3500</v>
      </c>
      <c r="AB92" s="1073">
        <v>3500</v>
      </c>
      <c r="AC92" s="1069">
        <v>3500</v>
      </c>
      <c r="AD92" s="1069">
        <v>3500</v>
      </c>
      <c r="AE92" s="1069">
        <v>3750</v>
      </c>
      <c r="AF92" s="1069">
        <v>3750</v>
      </c>
      <c r="AG92" s="1068"/>
      <c r="AH92" s="1068">
        <f t="shared" si="9"/>
        <v>0</v>
      </c>
      <c r="AI92" s="1067"/>
    </row>
    <row r="93" spans="1:35" s="1010" customFormat="1" outlineLevel="4">
      <c r="A93" s="999"/>
      <c r="B93" s="999"/>
      <c r="C93" s="999"/>
      <c r="D93" s="1015">
        <f>+D92+1</f>
        <v>66</v>
      </c>
      <c r="E93" s="1014" t="s">
        <v>1963</v>
      </c>
      <c r="F93" s="988">
        <f>+'[11]7'!$P$88+'[11]7'!$P$89</f>
        <v>21712.685859999998</v>
      </c>
      <c r="G93" s="987">
        <f>+F93/$F$332</f>
        <v>4.3845693602218771E-3</v>
      </c>
      <c r="H93" s="1070">
        <v>5667</v>
      </c>
      <c r="I93" s="1070">
        <v>5767</v>
      </c>
      <c r="J93" s="1070">
        <v>5667</v>
      </c>
      <c r="K93" s="1070">
        <v>5667</v>
      </c>
      <c r="L93" s="1070">
        <v>5667</v>
      </c>
      <c r="M93" s="1068">
        <v>5667</v>
      </c>
      <c r="N93" s="1068">
        <v>5667</v>
      </c>
      <c r="O93" s="1068">
        <v>5667</v>
      </c>
      <c r="P93" s="1068">
        <v>5667</v>
      </c>
      <c r="Q93" s="1068">
        <v>5667</v>
      </c>
      <c r="R93" s="1068">
        <v>5667</v>
      </c>
      <c r="S93" s="1068">
        <v>5667</v>
      </c>
      <c r="T93" s="1068">
        <v>5667</v>
      </c>
      <c r="U93" s="1073">
        <v>5800</v>
      </c>
      <c r="V93" s="1073">
        <v>6000</v>
      </c>
      <c r="W93" s="1073">
        <v>6000</v>
      </c>
      <c r="X93" s="1073">
        <v>6000</v>
      </c>
      <c r="Y93" s="1073">
        <v>6000</v>
      </c>
      <c r="Z93" s="1073">
        <v>6000</v>
      </c>
      <c r="AA93" s="1073">
        <v>6000</v>
      </c>
      <c r="AB93" s="1073">
        <v>6000</v>
      </c>
      <c r="AC93" s="1069">
        <v>6000</v>
      </c>
      <c r="AD93" s="1069">
        <v>6250</v>
      </c>
      <c r="AE93" s="1069">
        <v>6250</v>
      </c>
      <c r="AF93" s="1069">
        <v>6250</v>
      </c>
      <c r="AG93" s="1068"/>
      <c r="AH93" s="1068">
        <f t="shared" si="9"/>
        <v>0</v>
      </c>
      <c r="AI93" s="1067"/>
    </row>
    <row r="94" spans="1:35" s="1010" customFormat="1" outlineLevel="4">
      <c r="A94" s="999"/>
      <c r="B94" s="999"/>
      <c r="C94" s="999"/>
      <c r="D94" s="1015">
        <f>+D93+1</f>
        <v>67</v>
      </c>
      <c r="E94" s="1045" t="s">
        <v>1962</v>
      </c>
      <c r="F94" s="988">
        <f>+'[11]7'!$P$90+'[11]7'!$P$91+'[11]7'!$P$92</f>
        <v>5745.3301529999999</v>
      </c>
      <c r="G94" s="987">
        <f>+F94/$F$332</f>
        <v>1.1601880447047867E-3</v>
      </c>
      <c r="H94" s="1070">
        <v>2500</v>
      </c>
      <c r="I94" s="1070">
        <v>2733</v>
      </c>
      <c r="J94" s="1070">
        <v>2500</v>
      </c>
      <c r="K94" s="1070">
        <v>2500</v>
      </c>
      <c r="L94" s="1070">
        <v>2500</v>
      </c>
      <c r="M94" s="1068">
        <v>2500</v>
      </c>
      <c r="N94" s="1068">
        <v>2500</v>
      </c>
      <c r="O94" s="1068">
        <v>2500</v>
      </c>
      <c r="P94" s="1068">
        <v>2500</v>
      </c>
      <c r="Q94" s="1068">
        <v>2500</v>
      </c>
      <c r="R94" s="1068">
        <v>2500</v>
      </c>
      <c r="S94" s="1068">
        <v>2500</v>
      </c>
      <c r="T94" s="1068">
        <v>2500</v>
      </c>
      <c r="U94" s="1073">
        <v>2500</v>
      </c>
      <c r="V94" s="1073">
        <v>2800</v>
      </c>
      <c r="W94" s="1073">
        <v>3000</v>
      </c>
      <c r="X94" s="1073">
        <v>3200</v>
      </c>
      <c r="Y94" s="1073">
        <v>3200</v>
      </c>
      <c r="Z94" s="1073">
        <v>3200</v>
      </c>
      <c r="AA94" s="1073">
        <v>3000</v>
      </c>
      <c r="AB94" s="1073">
        <v>3000</v>
      </c>
      <c r="AC94" s="1069">
        <v>3000</v>
      </c>
      <c r="AD94" s="1069">
        <v>3000</v>
      </c>
      <c r="AE94" s="1069">
        <v>3000</v>
      </c>
      <c r="AF94" s="1069">
        <v>3000</v>
      </c>
      <c r="AG94" s="1068"/>
      <c r="AH94" s="1068">
        <f t="shared" si="9"/>
        <v>0</v>
      </c>
      <c r="AI94" s="1067"/>
    </row>
    <row r="95" spans="1:35" outlineLevel="3">
      <c r="A95" s="999"/>
      <c r="B95" s="999"/>
      <c r="C95" s="1956" t="s">
        <v>1961</v>
      </c>
      <c r="D95" s="1956"/>
      <c r="E95" s="1956"/>
      <c r="F95" s="998">
        <f>+F96+F105+F118</f>
        <v>595508.64308299997</v>
      </c>
      <c r="G95" s="997">
        <f>+G96+G105+G118</f>
        <v>0.120254535392105</v>
      </c>
      <c r="H95" s="1051"/>
      <c r="I95" s="1051"/>
      <c r="J95" s="1051"/>
      <c r="K95" s="1051"/>
      <c r="L95" s="1051"/>
      <c r="M95" s="1068"/>
      <c r="N95" s="1068"/>
      <c r="O95" s="1068"/>
      <c r="P95" s="1068"/>
      <c r="Q95" s="1068"/>
      <c r="R95" s="1068"/>
      <c r="S95" s="1068"/>
      <c r="T95" s="1068"/>
      <c r="U95" s="705"/>
      <c r="V95" s="705"/>
      <c r="W95" s="705"/>
      <c r="X95" s="705"/>
      <c r="Y95" s="705"/>
      <c r="Z95" s="705"/>
      <c r="AA95" s="705"/>
      <c r="AB95" s="705"/>
      <c r="AC95" s="1069"/>
      <c r="AD95" s="1069"/>
      <c r="AE95" s="1069"/>
      <c r="AF95" s="1069"/>
      <c r="AG95" s="1068"/>
      <c r="AH95" s="1068">
        <f t="shared" si="9"/>
        <v>0</v>
      </c>
    </row>
    <row r="96" spans="1:35" outlineLevel="4">
      <c r="A96" s="999"/>
      <c r="B96" s="999"/>
      <c r="C96" s="999"/>
      <c r="D96" s="1030"/>
      <c r="E96" s="1044" t="s">
        <v>1960</v>
      </c>
      <c r="F96" s="998">
        <f>SUM(F97:F104)</f>
        <v>232019.58449299997</v>
      </c>
      <c r="G96" s="997">
        <f>SUM(G97:G104)</f>
        <v>4.6853068648385947E-2</v>
      </c>
      <c r="H96" s="1051"/>
      <c r="I96" s="1051"/>
      <c r="J96" s="1051"/>
      <c r="K96" s="1051"/>
      <c r="L96" s="1051"/>
      <c r="M96" s="1068"/>
      <c r="N96" s="1068"/>
      <c r="O96" s="1068"/>
      <c r="P96" s="1068"/>
      <c r="Q96" s="1068"/>
      <c r="R96" s="1068"/>
      <c r="S96" s="1068"/>
      <c r="T96" s="1068"/>
      <c r="U96" s="705"/>
      <c r="V96" s="705"/>
      <c r="W96" s="705"/>
      <c r="X96" s="705"/>
      <c r="Y96" s="705"/>
      <c r="Z96" s="705"/>
      <c r="AA96" s="705"/>
      <c r="AB96" s="705"/>
      <c r="AC96" s="1069"/>
      <c r="AD96" s="1069"/>
      <c r="AE96" s="1069"/>
      <c r="AF96" s="1069"/>
      <c r="AG96" s="1068"/>
      <c r="AH96" s="1068">
        <f t="shared" si="9"/>
        <v>0</v>
      </c>
    </row>
    <row r="97" spans="1:35" s="1010" customFormat="1" ht="25.5" outlineLevel="5">
      <c r="A97" s="999"/>
      <c r="B97" s="999"/>
      <c r="C97" s="999"/>
      <c r="D97" s="1013">
        <f>D94+1</f>
        <v>68</v>
      </c>
      <c r="E97" s="1014" t="s">
        <v>1959</v>
      </c>
      <c r="F97" s="988">
        <f>+'[11]7'!$P$8+'[11]7'!$P$9+'[11]7'!$P$10+'[11]7'!$P$11+'[11]7'!$P$15+'[11]7'!$P$12</f>
        <v>77823.44339</v>
      </c>
      <c r="G97" s="987">
        <f t="shared" ref="G97:G104" si="10">+F97/$F$332</f>
        <v>1.5715342062925963E-2</v>
      </c>
      <c r="H97" s="1070">
        <v>41000</v>
      </c>
      <c r="I97" s="1070">
        <v>41000</v>
      </c>
      <c r="J97" s="1070">
        <v>41000</v>
      </c>
      <c r="K97" s="1070">
        <v>41000</v>
      </c>
      <c r="L97" s="1070">
        <v>41000</v>
      </c>
      <c r="M97" s="1068">
        <v>41000</v>
      </c>
      <c r="N97" s="1068">
        <v>41000</v>
      </c>
      <c r="O97" s="1068">
        <v>41000</v>
      </c>
      <c r="P97" s="1068">
        <v>41000</v>
      </c>
      <c r="Q97" s="1068">
        <v>41000</v>
      </c>
      <c r="R97" s="1068">
        <v>43500</v>
      </c>
      <c r="S97" s="1068">
        <v>47500</v>
      </c>
      <c r="T97" s="1068">
        <v>47500</v>
      </c>
      <c r="U97" s="1073">
        <v>52000</v>
      </c>
      <c r="V97" s="1073">
        <v>52000</v>
      </c>
      <c r="W97" s="1083">
        <v>55000</v>
      </c>
      <c r="X97" s="1073">
        <v>60000</v>
      </c>
      <c r="Y97" s="1073">
        <v>60000</v>
      </c>
      <c r="Z97" s="1073">
        <v>60000</v>
      </c>
      <c r="AA97" s="1073">
        <v>60000</v>
      </c>
      <c r="AB97" s="1073">
        <v>60000</v>
      </c>
      <c r="AC97" s="1069">
        <v>65000</v>
      </c>
      <c r="AD97" s="1069">
        <v>65000</v>
      </c>
      <c r="AE97" s="1069">
        <v>65000</v>
      </c>
      <c r="AF97" s="1069">
        <v>65666.666666666672</v>
      </c>
      <c r="AG97" s="1068"/>
      <c r="AH97" s="1068">
        <f t="shared" si="9"/>
        <v>666.66666666667152</v>
      </c>
      <c r="AI97" s="1067"/>
    </row>
    <row r="98" spans="1:35" s="1010" customFormat="1" outlineLevel="5">
      <c r="A98" s="999"/>
      <c r="B98" s="999"/>
      <c r="C98" s="999"/>
      <c r="D98" s="1017">
        <f t="shared" ref="D98:D104" si="11">+D97+1</f>
        <v>69</v>
      </c>
      <c r="E98" s="1014" t="s">
        <v>1958</v>
      </c>
      <c r="F98" s="988">
        <f>+'[11]7'!$P$13</f>
        <v>25307.029820000003</v>
      </c>
      <c r="G98" s="987">
        <f t="shared" si="10"/>
        <v>5.1103962108809964E-3</v>
      </c>
      <c r="H98" s="1070">
        <v>25000</v>
      </c>
      <c r="I98" s="1070">
        <v>25000</v>
      </c>
      <c r="J98" s="1070">
        <v>25000</v>
      </c>
      <c r="K98" s="1070">
        <v>25000</v>
      </c>
      <c r="L98" s="1070">
        <v>25000</v>
      </c>
      <c r="M98" s="1070">
        <v>25000</v>
      </c>
      <c r="N98" s="1070">
        <v>25000</v>
      </c>
      <c r="O98" s="1070">
        <v>25000</v>
      </c>
      <c r="P98" s="1070">
        <v>25000</v>
      </c>
      <c r="Q98" s="1070">
        <v>25000</v>
      </c>
      <c r="R98" s="1070">
        <v>25000</v>
      </c>
      <c r="S98" s="1070">
        <v>25000</v>
      </c>
      <c r="T98" s="1070">
        <v>25000</v>
      </c>
      <c r="U98" s="1070">
        <v>25000</v>
      </c>
      <c r="V98" s="1073">
        <v>25000</v>
      </c>
      <c r="W98" s="1073">
        <v>30000</v>
      </c>
      <c r="X98" s="1073">
        <v>30000</v>
      </c>
      <c r="Y98" s="1073">
        <v>30000</v>
      </c>
      <c r="Z98" s="1073">
        <v>30000</v>
      </c>
      <c r="AA98" s="1073">
        <v>30000</v>
      </c>
      <c r="AB98" s="1073">
        <v>30000</v>
      </c>
      <c r="AC98" s="1069">
        <v>27500</v>
      </c>
      <c r="AD98" s="1069">
        <v>27500</v>
      </c>
      <c r="AE98" s="1069">
        <v>27666.666666666668</v>
      </c>
      <c r="AF98" s="1069">
        <v>28333.333333333332</v>
      </c>
      <c r="AG98" s="1068"/>
      <c r="AH98" s="1068">
        <f t="shared" si="9"/>
        <v>666.66666666666424</v>
      </c>
      <c r="AI98" s="1067"/>
    </row>
    <row r="99" spans="1:35" s="1010" customFormat="1" outlineLevel="5">
      <c r="A99" s="999"/>
      <c r="B99" s="999"/>
      <c r="C99" s="999"/>
      <c r="D99" s="1017">
        <f t="shared" si="11"/>
        <v>70</v>
      </c>
      <c r="E99" s="1014" t="s">
        <v>1957</v>
      </c>
      <c r="F99" s="988">
        <f>+'[11]7'!$P$14</f>
        <v>11173.712599999999</v>
      </c>
      <c r="G99" s="987">
        <f t="shared" si="10"/>
        <v>2.2563729895867025E-3</v>
      </c>
      <c r="H99" s="1070">
        <v>9000</v>
      </c>
      <c r="I99" s="1070">
        <v>9000</v>
      </c>
      <c r="J99" s="1070">
        <v>9000</v>
      </c>
      <c r="K99" s="1070">
        <v>12500</v>
      </c>
      <c r="L99" s="1070">
        <v>12500</v>
      </c>
      <c r="M99" s="1068">
        <v>12500</v>
      </c>
      <c r="N99" s="1068">
        <v>12500</v>
      </c>
      <c r="O99" s="1068">
        <v>12500</v>
      </c>
      <c r="P99" s="1068">
        <v>12500</v>
      </c>
      <c r="Q99" s="1068">
        <v>14000</v>
      </c>
      <c r="R99" s="1068">
        <v>16000</v>
      </c>
      <c r="S99" s="1068">
        <v>16000</v>
      </c>
      <c r="T99" s="1068">
        <v>16000</v>
      </c>
      <c r="U99" s="1073">
        <v>16000</v>
      </c>
      <c r="V99" s="1073">
        <v>17000</v>
      </c>
      <c r="W99" s="1073">
        <v>17000</v>
      </c>
      <c r="X99" s="1073">
        <v>17000</v>
      </c>
      <c r="Y99" s="1073">
        <v>17000</v>
      </c>
      <c r="Z99" s="1073">
        <v>18000</v>
      </c>
      <c r="AA99" s="1073">
        <v>18000</v>
      </c>
      <c r="AB99" s="1073">
        <v>18000</v>
      </c>
      <c r="AC99" s="1069">
        <v>19000</v>
      </c>
      <c r="AD99" s="1069">
        <v>20000</v>
      </c>
      <c r="AE99" s="1069">
        <v>20000</v>
      </c>
      <c r="AF99" s="1069">
        <v>22333.333333333332</v>
      </c>
      <c r="AG99" s="1068"/>
      <c r="AH99" s="1068">
        <f t="shared" si="9"/>
        <v>2333.3333333333321</v>
      </c>
      <c r="AI99" s="1067"/>
    </row>
    <row r="100" spans="1:35" s="1010" customFormat="1" outlineLevel="5">
      <c r="A100" s="999"/>
      <c r="B100" s="999"/>
      <c r="C100" s="999"/>
      <c r="D100" s="1017">
        <f t="shared" si="11"/>
        <v>71</v>
      </c>
      <c r="E100" s="1014" t="s">
        <v>1956</v>
      </c>
      <c r="F100" s="988">
        <f>+'[11]7'!$P$16</f>
        <v>11132.372600000001</v>
      </c>
      <c r="G100" s="987">
        <f t="shared" si="10"/>
        <v>2.2480249621468782E-3</v>
      </c>
      <c r="H100" s="1070">
        <v>36000</v>
      </c>
      <c r="I100" s="1070">
        <v>36000</v>
      </c>
      <c r="J100" s="1070">
        <v>36000</v>
      </c>
      <c r="K100" s="1070">
        <v>36000</v>
      </c>
      <c r="L100" s="1070">
        <v>36000</v>
      </c>
      <c r="M100" s="1068">
        <v>36000</v>
      </c>
      <c r="N100" s="1068">
        <v>36000</v>
      </c>
      <c r="O100" s="1068">
        <v>36000</v>
      </c>
      <c r="P100" s="1068">
        <v>36000</v>
      </c>
      <c r="Q100" s="1068">
        <v>36000</v>
      </c>
      <c r="R100" s="1068">
        <v>36000</v>
      </c>
      <c r="S100" s="1068">
        <v>36000</v>
      </c>
      <c r="T100" s="1068">
        <v>36000</v>
      </c>
      <c r="U100" s="1073">
        <v>40000</v>
      </c>
      <c r="V100" s="1073">
        <v>42000</v>
      </c>
      <c r="W100" s="1073">
        <v>42000</v>
      </c>
      <c r="X100" s="1073">
        <v>42000</v>
      </c>
      <c r="Y100" s="1073">
        <v>45000</v>
      </c>
      <c r="Z100" s="1073">
        <v>48000</v>
      </c>
      <c r="AA100" s="1073">
        <v>48000</v>
      </c>
      <c r="AB100" s="1073">
        <v>45000</v>
      </c>
      <c r="AC100" s="1069">
        <v>40000</v>
      </c>
      <c r="AD100" s="1069">
        <v>40000</v>
      </c>
      <c r="AE100" s="1069">
        <v>40000</v>
      </c>
      <c r="AF100" s="1069">
        <v>40000</v>
      </c>
      <c r="AG100" s="1068"/>
      <c r="AH100" s="1068">
        <f t="shared" si="9"/>
        <v>0</v>
      </c>
      <c r="AI100" s="1067"/>
    </row>
    <row r="101" spans="1:35" s="1010" customFormat="1" outlineLevel="5">
      <c r="A101" s="999"/>
      <c r="B101" s="999"/>
      <c r="C101" s="999"/>
      <c r="D101" s="1017">
        <f t="shared" si="11"/>
        <v>72</v>
      </c>
      <c r="E101" s="1014" t="s">
        <v>1955</v>
      </c>
      <c r="F101" s="988">
        <f>+'[11]7'!$P$18</f>
        <v>62161.023000000001</v>
      </c>
      <c r="G101" s="987">
        <f t="shared" si="10"/>
        <v>1.2552538115422604E-2</v>
      </c>
      <c r="H101" s="1070">
        <v>23000</v>
      </c>
      <c r="I101" s="1070">
        <v>23000</v>
      </c>
      <c r="J101" s="1070">
        <v>23000</v>
      </c>
      <c r="K101" s="1070">
        <v>23000</v>
      </c>
      <c r="L101" s="1070">
        <v>23000</v>
      </c>
      <c r="M101" s="1070">
        <v>23000</v>
      </c>
      <c r="N101" s="1070">
        <v>23000</v>
      </c>
      <c r="O101" s="1070">
        <v>23000</v>
      </c>
      <c r="P101" s="1070">
        <v>23000</v>
      </c>
      <c r="Q101" s="1070">
        <v>23000</v>
      </c>
      <c r="R101" s="1070">
        <v>23000</v>
      </c>
      <c r="S101" s="1070">
        <v>23000</v>
      </c>
      <c r="T101" s="1070">
        <v>23000</v>
      </c>
      <c r="U101" s="1070">
        <v>23000</v>
      </c>
      <c r="V101" s="1073">
        <v>22000</v>
      </c>
      <c r="W101" s="1073">
        <v>22000</v>
      </c>
      <c r="X101" s="1073">
        <v>22000</v>
      </c>
      <c r="Y101" s="1073">
        <v>25000</v>
      </c>
      <c r="Z101" s="1073">
        <v>25000</v>
      </c>
      <c r="AA101" s="1073">
        <v>25000</v>
      </c>
      <c r="AB101" s="1073">
        <v>25000</v>
      </c>
      <c r="AC101" s="1069">
        <v>25000</v>
      </c>
      <c r="AD101" s="1069">
        <v>25000</v>
      </c>
      <c r="AE101" s="1069">
        <v>25000</v>
      </c>
      <c r="AF101" s="1069">
        <v>25000</v>
      </c>
      <c r="AG101" s="1068"/>
      <c r="AH101" s="1068">
        <f t="shared" si="9"/>
        <v>0</v>
      </c>
      <c r="AI101" s="1067"/>
    </row>
    <row r="102" spans="1:35" s="1010" customFormat="1" outlineLevel="5">
      <c r="A102" s="999"/>
      <c r="B102" s="999"/>
      <c r="C102" s="999"/>
      <c r="D102" s="1017">
        <f t="shared" si="11"/>
        <v>73</v>
      </c>
      <c r="E102" s="1014" t="s">
        <v>1954</v>
      </c>
      <c r="F102" s="988">
        <f>+'[11]7'!$P$19</f>
        <v>14723.065900000001</v>
      </c>
      <c r="G102" s="987">
        <f t="shared" si="10"/>
        <v>2.9731146137287477E-3</v>
      </c>
      <c r="H102" s="1070">
        <v>4750</v>
      </c>
      <c r="I102" s="1070">
        <v>5000</v>
      </c>
      <c r="J102" s="1070">
        <v>5350</v>
      </c>
      <c r="K102" s="1070">
        <v>5350</v>
      </c>
      <c r="L102" s="1070">
        <v>5350</v>
      </c>
      <c r="M102" s="1068">
        <v>5350</v>
      </c>
      <c r="N102" s="1068">
        <v>5350</v>
      </c>
      <c r="O102" s="1068">
        <v>5350</v>
      </c>
      <c r="P102" s="1068">
        <v>5350</v>
      </c>
      <c r="Q102" s="1068">
        <v>5350</v>
      </c>
      <c r="R102" s="1068">
        <v>5350</v>
      </c>
      <c r="S102" s="1068">
        <v>5350</v>
      </c>
      <c r="T102" s="1068">
        <v>5350</v>
      </c>
      <c r="U102" s="1073">
        <v>6000</v>
      </c>
      <c r="V102" s="1073">
        <v>6000</v>
      </c>
      <c r="W102" s="1073">
        <v>6500</v>
      </c>
      <c r="X102" s="1073">
        <v>7000</v>
      </c>
      <c r="Y102" s="1073">
        <v>8000</v>
      </c>
      <c r="Z102" s="1073">
        <v>9500</v>
      </c>
      <c r="AA102" s="1073">
        <v>9500</v>
      </c>
      <c r="AB102" s="1073">
        <v>9500</v>
      </c>
      <c r="AC102" s="1069">
        <v>9500</v>
      </c>
      <c r="AD102" s="1069">
        <v>10000</v>
      </c>
      <c r="AE102" s="1069">
        <v>10500</v>
      </c>
      <c r="AF102" s="1069">
        <v>10500</v>
      </c>
      <c r="AG102" s="1068"/>
      <c r="AH102" s="1068">
        <f t="shared" si="9"/>
        <v>0</v>
      </c>
      <c r="AI102" s="1067"/>
    </row>
    <row r="103" spans="1:35" s="1010" customFormat="1" ht="25.5" outlineLevel="5">
      <c r="A103" s="999"/>
      <c r="B103" s="999"/>
      <c r="C103" s="999"/>
      <c r="D103" s="1017">
        <f t="shared" si="11"/>
        <v>74</v>
      </c>
      <c r="E103" s="1014" t="s">
        <v>1953</v>
      </c>
      <c r="F103" s="988">
        <f>+'[11]7'!$P$20</f>
        <v>15915.074699999997</v>
      </c>
      <c r="G103" s="987">
        <f t="shared" si="10"/>
        <v>3.2138239066874419E-3</v>
      </c>
      <c r="H103" s="1070">
        <v>3533</v>
      </c>
      <c r="I103" s="1070">
        <v>3533</v>
      </c>
      <c r="J103" s="1070">
        <v>3533</v>
      </c>
      <c r="K103" s="1070">
        <v>3533</v>
      </c>
      <c r="L103" s="1070">
        <v>3533</v>
      </c>
      <c r="M103" s="1068">
        <v>3533</v>
      </c>
      <c r="N103" s="1068">
        <v>3533</v>
      </c>
      <c r="O103" s="1068">
        <v>3533</v>
      </c>
      <c r="P103" s="1068">
        <v>3533</v>
      </c>
      <c r="Q103" s="1068">
        <v>3533</v>
      </c>
      <c r="R103" s="1068">
        <v>3533</v>
      </c>
      <c r="S103" s="1068">
        <v>3533</v>
      </c>
      <c r="T103" s="1068">
        <v>3533</v>
      </c>
      <c r="U103" s="1073">
        <v>4000</v>
      </c>
      <c r="V103" s="1073">
        <v>4000</v>
      </c>
      <c r="W103" s="1073">
        <v>4000</v>
      </c>
      <c r="X103" s="1073">
        <v>4500</v>
      </c>
      <c r="Y103" s="1073">
        <v>4500</v>
      </c>
      <c r="Z103" s="1073">
        <v>4500</v>
      </c>
      <c r="AA103" s="1073">
        <v>4500</v>
      </c>
      <c r="AB103" s="1073">
        <v>4500</v>
      </c>
      <c r="AC103" s="1069">
        <v>4500</v>
      </c>
      <c r="AD103" s="1069">
        <v>4500</v>
      </c>
      <c r="AE103" s="1069">
        <v>4500</v>
      </c>
      <c r="AF103" s="1069">
        <v>4500</v>
      </c>
      <c r="AG103" s="1068"/>
      <c r="AH103" s="1068">
        <f t="shared" si="9"/>
        <v>0</v>
      </c>
      <c r="AI103" s="1067"/>
    </row>
    <row r="104" spans="1:35" s="1010" customFormat="1" outlineLevel="5">
      <c r="A104" s="999"/>
      <c r="B104" s="999"/>
      <c r="C104" s="999"/>
      <c r="D104" s="1017">
        <f t="shared" si="11"/>
        <v>75</v>
      </c>
      <c r="E104" s="1014" t="s">
        <v>1940</v>
      </c>
      <c r="F104" s="988">
        <f>+'[11]7'!$P$21+'[11]7'!$P$22+'[11]7'!$P$23</f>
        <v>13783.862482999997</v>
      </c>
      <c r="G104" s="987">
        <f t="shared" si="10"/>
        <v>2.783455787006612E-3</v>
      </c>
      <c r="H104" s="1070">
        <v>767</v>
      </c>
      <c r="I104" s="1070">
        <v>733</v>
      </c>
      <c r="J104" s="1070">
        <v>633</v>
      </c>
      <c r="K104" s="1070">
        <v>633</v>
      </c>
      <c r="L104" s="1070">
        <v>633</v>
      </c>
      <c r="M104" s="1068">
        <v>633</v>
      </c>
      <c r="N104" s="1068">
        <v>633</v>
      </c>
      <c r="O104" s="1068">
        <v>633</v>
      </c>
      <c r="P104" s="1068">
        <v>633</v>
      </c>
      <c r="Q104" s="1068">
        <v>633</v>
      </c>
      <c r="R104" s="1068">
        <v>733</v>
      </c>
      <c r="S104" s="1068">
        <v>833</v>
      </c>
      <c r="T104" s="1068">
        <v>833</v>
      </c>
      <c r="U104" s="1073">
        <v>900</v>
      </c>
      <c r="V104" s="1073">
        <v>1000</v>
      </c>
      <c r="W104" s="1073">
        <v>1000</v>
      </c>
      <c r="X104" s="1073">
        <v>1000</v>
      </c>
      <c r="Y104" s="1073">
        <v>1000</v>
      </c>
      <c r="Z104" s="1073">
        <v>1000</v>
      </c>
      <c r="AA104" s="1073">
        <v>1000</v>
      </c>
      <c r="AB104" s="1073">
        <v>1000</v>
      </c>
      <c r="AC104" s="1069">
        <v>1000</v>
      </c>
      <c r="AD104" s="1069">
        <v>1000</v>
      </c>
      <c r="AE104" s="1069">
        <v>1066.6666666666667</v>
      </c>
      <c r="AF104" s="1069">
        <v>1233.3333333333333</v>
      </c>
      <c r="AG104" s="1068"/>
      <c r="AH104" s="1068">
        <f t="shared" si="9"/>
        <v>166.66666666666652</v>
      </c>
      <c r="AI104" s="1067"/>
    </row>
    <row r="105" spans="1:35" outlineLevel="4">
      <c r="A105" s="999"/>
      <c r="B105" s="999"/>
      <c r="C105" s="999"/>
      <c r="D105" s="999"/>
      <c r="E105" s="1042" t="s">
        <v>1952</v>
      </c>
      <c r="F105" s="998">
        <f>SUM(F106:F117)</f>
        <v>246968.48256</v>
      </c>
      <c r="G105" s="997">
        <f>SUM(G106:G117)</f>
        <v>4.9871786869442013E-2</v>
      </c>
      <c r="H105" s="1051"/>
      <c r="I105" s="1051"/>
      <c r="J105" s="1051"/>
      <c r="K105" s="1051"/>
      <c r="L105" s="1051"/>
      <c r="M105" s="1068"/>
      <c r="N105" s="1068"/>
      <c r="O105" s="1068"/>
      <c r="P105" s="1068"/>
      <c r="Q105" s="1068"/>
      <c r="R105" s="1068"/>
      <c r="S105" s="1068"/>
      <c r="T105" s="1068"/>
      <c r="U105" s="705"/>
      <c r="V105" s="705"/>
      <c r="W105" s="705"/>
      <c r="X105" s="705"/>
      <c r="Y105" s="705"/>
      <c r="Z105" s="705"/>
      <c r="AA105" s="705"/>
      <c r="AB105" s="705"/>
      <c r="AC105" s="1069"/>
      <c r="AD105" s="1069"/>
      <c r="AE105" s="1069"/>
      <c r="AF105" s="1069"/>
      <c r="AG105" s="1068"/>
      <c r="AH105" s="1068">
        <f t="shared" si="9"/>
        <v>0</v>
      </c>
    </row>
    <row r="106" spans="1:35" s="1010" customFormat="1" ht="25.5" outlineLevel="5">
      <c r="A106" s="999"/>
      <c r="B106" s="999"/>
      <c r="C106" s="999"/>
      <c r="D106" s="1017">
        <f>+D104+1</f>
        <v>76</v>
      </c>
      <c r="E106" s="1026" t="s">
        <v>1951</v>
      </c>
      <c r="F106" s="988">
        <f>+'[11]7'!$P$25+'[11]7'!$P$26</f>
        <v>46705.0193</v>
      </c>
      <c r="G106" s="987">
        <f t="shared" ref="G106:G117" si="12">+F106/$F$332</f>
        <v>9.431417094676809E-3</v>
      </c>
      <c r="H106" s="1070">
        <v>46000</v>
      </c>
      <c r="I106" s="1070">
        <v>46000</v>
      </c>
      <c r="J106" s="1070">
        <v>46000</v>
      </c>
      <c r="K106" s="1070">
        <v>46000</v>
      </c>
      <c r="L106" s="1070">
        <v>46000</v>
      </c>
      <c r="M106" s="1068">
        <v>46000</v>
      </c>
      <c r="N106" s="1068">
        <v>46000</v>
      </c>
      <c r="O106" s="1068">
        <v>46000</v>
      </c>
      <c r="P106" s="1068">
        <v>46000</v>
      </c>
      <c r="Q106" s="1068">
        <v>46000</v>
      </c>
      <c r="R106" s="1068">
        <v>46000</v>
      </c>
      <c r="S106" s="1068">
        <v>50000</v>
      </c>
      <c r="T106" s="1068">
        <v>50000</v>
      </c>
      <c r="U106" s="1073">
        <v>35000</v>
      </c>
      <c r="V106" s="1073">
        <v>37000</v>
      </c>
      <c r="W106" s="1073">
        <v>37000</v>
      </c>
      <c r="X106" s="1073">
        <v>40000</v>
      </c>
      <c r="Y106" s="1073">
        <v>40000</v>
      </c>
      <c r="Z106" s="1073">
        <v>40000</v>
      </c>
      <c r="AA106" s="1073">
        <v>40000</v>
      </c>
      <c r="AB106" s="1073">
        <v>40000</v>
      </c>
      <c r="AC106" s="1069">
        <v>40000</v>
      </c>
      <c r="AD106" s="1069">
        <v>42000</v>
      </c>
      <c r="AE106" s="1069">
        <v>46333.333333333336</v>
      </c>
      <c r="AF106" s="1069">
        <v>47666.666666666664</v>
      </c>
      <c r="AG106" s="1068"/>
      <c r="AH106" s="1068">
        <f t="shared" si="9"/>
        <v>1333.3333333333285</v>
      </c>
      <c r="AI106" s="1067"/>
    </row>
    <row r="107" spans="1:35" s="1010" customFormat="1" outlineLevel="5">
      <c r="A107" s="999"/>
      <c r="B107" s="999"/>
      <c r="C107" s="999"/>
      <c r="D107" s="1017">
        <f t="shared" ref="D107:D117" si="13">+D106+1</f>
        <v>77</v>
      </c>
      <c r="E107" s="1014" t="s">
        <v>1950</v>
      </c>
      <c r="F107" s="988">
        <f>+'[11]7'!$P$24+'[11]7'!$P$27+'[11]7'!$P$31</f>
        <v>28681.037759999999</v>
      </c>
      <c r="G107" s="987">
        <f t="shared" si="12"/>
        <v>5.7917293232493117E-3</v>
      </c>
      <c r="H107" s="1070">
        <v>31000</v>
      </c>
      <c r="I107" s="1070">
        <v>31000</v>
      </c>
      <c r="J107" s="1070">
        <v>32000</v>
      </c>
      <c r="K107" s="1070">
        <v>32000</v>
      </c>
      <c r="L107" s="1070">
        <v>32000</v>
      </c>
      <c r="M107" s="1068">
        <v>32000</v>
      </c>
      <c r="N107" s="1068">
        <v>32000</v>
      </c>
      <c r="O107" s="1068">
        <v>32000</v>
      </c>
      <c r="P107" s="1068">
        <v>32000</v>
      </c>
      <c r="Q107" s="1068">
        <v>32000</v>
      </c>
      <c r="R107" s="1068">
        <v>32000</v>
      </c>
      <c r="S107" s="1068">
        <v>32000</v>
      </c>
      <c r="T107" s="1068">
        <v>32000</v>
      </c>
      <c r="U107" s="1073">
        <v>35000</v>
      </c>
      <c r="V107" s="1073">
        <v>37000</v>
      </c>
      <c r="W107" s="1073">
        <v>40000</v>
      </c>
      <c r="X107" s="1073">
        <v>42000</v>
      </c>
      <c r="Y107" s="1073">
        <v>42000</v>
      </c>
      <c r="Z107" s="1073">
        <v>42000</v>
      </c>
      <c r="AA107" s="1073">
        <v>45000</v>
      </c>
      <c r="AB107" s="1073">
        <v>45000</v>
      </c>
      <c r="AC107" s="1069">
        <v>49000</v>
      </c>
      <c r="AD107" s="1069">
        <v>49000</v>
      </c>
      <c r="AE107" s="1069">
        <v>52000</v>
      </c>
      <c r="AF107" s="1069">
        <v>52000</v>
      </c>
      <c r="AG107" s="1068"/>
      <c r="AH107" s="1068">
        <f t="shared" si="9"/>
        <v>0</v>
      </c>
      <c r="AI107" s="1067"/>
    </row>
    <row r="108" spans="1:35" s="1010" customFormat="1" outlineLevel="5">
      <c r="A108" s="999"/>
      <c r="B108" s="999"/>
      <c r="C108" s="999"/>
      <c r="D108" s="1017">
        <f t="shared" si="13"/>
        <v>78</v>
      </c>
      <c r="E108" s="1014" t="s">
        <v>1949</v>
      </c>
      <c r="F108" s="988">
        <f>+'[11]7'!$P$28+'[11]7'!$P$33</f>
        <v>17162.53959</v>
      </c>
      <c r="G108" s="987">
        <f t="shared" si="12"/>
        <v>3.4657317715141916E-3</v>
      </c>
      <c r="H108" s="1070">
        <v>36000</v>
      </c>
      <c r="I108" s="1070">
        <v>36000</v>
      </c>
      <c r="J108" s="1070">
        <v>36000</v>
      </c>
      <c r="K108" s="1070">
        <v>36000</v>
      </c>
      <c r="L108" s="1070">
        <v>36000</v>
      </c>
      <c r="M108" s="1068">
        <v>36000</v>
      </c>
      <c r="N108" s="1068">
        <v>36000</v>
      </c>
      <c r="O108" s="1068">
        <v>36000</v>
      </c>
      <c r="P108" s="1068">
        <v>36000</v>
      </c>
      <c r="Q108" s="1068">
        <v>36000</v>
      </c>
      <c r="R108" s="1068">
        <v>36000</v>
      </c>
      <c r="S108" s="1068">
        <v>36000</v>
      </c>
      <c r="T108" s="1068">
        <v>36000</v>
      </c>
      <c r="U108" s="1073">
        <v>38000</v>
      </c>
      <c r="V108" s="1073">
        <v>40000</v>
      </c>
      <c r="W108" s="1073">
        <v>40000</v>
      </c>
      <c r="X108" s="1073">
        <v>40000</v>
      </c>
      <c r="Y108" s="1073">
        <v>45000</v>
      </c>
      <c r="Z108" s="1073">
        <v>48000</v>
      </c>
      <c r="AA108" s="1073">
        <v>48000</v>
      </c>
      <c r="AB108" s="1073">
        <v>45000</v>
      </c>
      <c r="AC108" s="1069">
        <v>49000</v>
      </c>
      <c r="AD108" s="1069">
        <v>49000</v>
      </c>
      <c r="AE108" s="1069">
        <v>51000</v>
      </c>
      <c r="AF108" s="1069">
        <v>51000</v>
      </c>
      <c r="AG108" s="1068"/>
      <c r="AH108" s="1068">
        <f t="shared" si="9"/>
        <v>0</v>
      </c>
      <c r="AI108" s="1067"/>
    </row>
    <row r="109" spans="1:35" s="1010" customFormat="1" outlineLevel="5">
      <c r="A109" s="999"/>
      <c r="B109" s="999"/>
      <c r="C109" s="999"/>
      <c r="D109" s="1017">
        <f t="shared" si="13"/>
        <v>79</v>
      </c>
      <c r="E109" s="1014" t="s">
        <v>1948</v>
      </c>
      <c r="F109" s="988">
        <f>+'[11]7'!$P$29</f>
        <v>22605.984899999999</v>
      </c>
      <c r="G109" s="987">
        <f t="shared" si="12"/>
        <v>4.5649584482211278E-3</v>
      </c>
      <c r="H109" s="1070">
        <v>21000</v>
      </c>
      <c r="I109" s="1070">
        <v>21000</v>
      </c>
      <c r="J109" s="1070">
        <v>21000</v>
      </c>
      <c r="K109" s="1070">
        <v>21000</v>
      </c>
      <c r="L109" s="1070">
        <v>21000</v>
      </c>
      <c r="M109" s="1068">
        <v>21000</v>
      </c>
      <c r="N109" s="1068">
        <v>21000</v>
      </c>
      <c r="O109" s="1068">
        <v>21000</v>
      </c>
      <c r="P109" s="1068">
        <v>21000</v>
      </c>
      <c r="Q109" s="1068">
        <v>21000</v>
      </c>
      <c r="R109" s="1068">
        <v>21000</v>
      </c>
      <c r="S109" s="1068">
        <v>21000</v>
      </c>
      <c r="T109" s="1068">
        <v>21000</v>
      </c>
      <c r="U109" s="1073">
        <v>22000</v>
      </c>
      <c r="V109" s="1073">
        <v>25000</v>
      </c>
      <c r="W109" s="1073">
        <v>25000</v>
      </c>
      <c r="X109" s="1073">
        <v>25000</v>
      </c>
      <c r="Y109" s="1073">
        <v>25000</v>
      </c>
      <c r="Z109" s="1073">
        <v>25000</v>
      </c>
      <c r="AA109" s="1073">
        <v>25000</v>
      </c>
      <c r="AB109" s="1073">
        <v>25000</v>
      </c>
      <c r="AC109" s="1069">
        <v>25000</v>
      </c>
      <c r="AD109" s="1069">
        <v>25000</v>
      </c>
      <c r="AE109" s="1069">
        <v>27000</v>
      </c>
      <c r="AF109" s="1069">
        <v>27000</v>
      </c>
      <c r="AG109" s="1068"/>
      <c r="AH109" s="1068">
        <f t="shared" si="9"/>
        <v>0</v>
      </c>
      <c r="AI109" s="1067"/>
    </row>
    <row r="110" spans="1:35" s="1010" customFormat="1" outlineLevel="5">
      <c r="A110" s="999"/>
      <c r="B110" s="999"/>
      <c r="C110" s="999"/>
      <c r="D110" s="1017">
        <f t="shared" si="13"/>
        <v>80</v>
      </c>
      <c r="E110" s="1026" t="s">
        <v>1947</v>
      </c>
      <c r="F110" s="988">
        <f>+'[11]7'!$P$30+'[11]7'!$P$36</f>
        <v>29639.857500000006</v>
      </c>
      <c r="G110" s="987">
        <f t="shared" si="12"/>
        <v>5.9853493885460123E-3</v>
      </c>
      <c r="H110" s="1070">
        <v>17750</v>
      </c>
      <c r="I110" s="1070">
        <v>17750</v>
      </c>
      <c r="J110" s="1070">
        <v>17750</v>
      </c>
      <c r="K110" s="1070">
        <v>17750</v>
      </c>
      <c r="L110" s="1070">
        <v>17750</v>
      </c>
      <c r="M110" s="1068">
        <v>17750</v>
      </c>
      <c r="N110" s="1068">
        <v>17750</v>
      </c>
      <c r="O110" s="1068">
        <v>17750</v>
      </c>
      <c r="P110" s="1068">
        <v>17750</v>
      </c>
      <c r="Q110" s="1068">
        <v>17750</v>
      </c>
      <c r="R110" s="1068">
        <v>17750</v>
      </c>
      <c r="S110" s="1068">
        <v>17750</v>
      </c>
      <c r="T110" s="1068">
        <v>17750</v>
      </c>
      <c r="U110" s="1073">
        <v>20000</v>
      </c>
      <c r="V110" s="1073">
        <v>20000</v>
      </c>
      <c r="W110" s="1073">
        <v>22000</v>
      </c>
      <c r="X110" s="1073">
        <v>22000</v>
      </c>
      <c r="Y110" s="1073">
        <v>22000</v>
      </c>
      <c r="Z110" s="1073">
        <v>22000</v>
      </c>
      <c r="AA110" s="1073">
        <v>22000</v>
      </c>
      <c r="AB110" s="1073">
        <v>22000</v>
      </c>
      <c r="AC110" s="1069">
        <v>22000</v>
      </c>
      <c r="AD110" s="1069">
        <v>23000</v>
      </c>
      <c r="AE110" s="1069">
        <v>23333.333333333332</v>
      </c>
      <c r="AF110" s="1069">
        <v>23333.333333333332</v>
      </c>
      <c r="AG110" s="1068"/>
      <c r="AH110" s="1068">
        <f t="shared" si="9"/>
        <v>0</v>
      </c>
      <c r="AI110" s="1067"/>
    </row>
    <row r="111" spans="1:35" s="1010" customFormat="1" outlineLevel="5">
      <c r="A111" s="999"/>
      <c r="B111" s="999"/>
      <c r="C111" s="999"/>
      <c r="D111" s="1017">
        <f t="shared" si="13"/>
        <v>81</v>
      </c>
      <c r="E111" s="1014" t="s">
        <v>1946</v>
      </c>
      <c r="F111" s="988">
        <f>+'[11]7'!$P$32</f>
        <v>10488.2358</v>
      </c>
      <c r="G111" s="987">
        <f t="shared" si="12"/>
        <v>2.1179506592586142E-3</v>
      </c>
      <c r="H111" s="1070">
        <v>19000</v>
      </c>
      <c r="I111" s="1070">
        <v>19000</v>
      </c>
      <c r="J111" s="1070">
        <v>19000</v>
      </c>
      <c r="K111" s="1070">
        <v>19000</v>
      </c>
      <c r="L111" s="1070">
        <v>19000</v>
      </c>
      <c r="M111" s="1068">
        <v>19000</v>
      </c>
      <c r="N111" s="1068">
        <v>19000</v>
      </c>
      <c r="O111" s="1068">
        <v>19000</v>
      </c>
      <c r="P111" s="1068">
        <v>19000</v>
      </c>
      <c r="Q111" s="1068">
        <v>19000</v>
      </c>
      <c r="R111" s="1068">
        <v>19000</v>
      </c>
      <c r="S111" s="1068">
        <v>20000</v>
      </c>
      <c r="T111" s="1068">
        <v>20000</v>
      </c>
      <c r="U111" s="1073">
        <v>22000</v>
      </c>
      <c r="V111" s="1073">
        <v>22000</v>
      </c>
      <c r="W111" s="1073">
        <v>25000</v>
      </c>
      <c r="X111" s="1073">
        <v>25000</v>
      </c>
      <c r="Y111" s="1073">
        <v>25000</v>
      </c>
      <c r="Z111" s="1073">
        <v>25000</v>
      </c>
      <c r="AA111" s="1073">
        <v>25000</v>
      </c>
      <c r="AB111" s="1073">
        <v>25000</v>
      </c>
      <c r="AC111" s="1069">
        <v>25000</v>
      </c>
      <c r="AD111" s="1069">
        <v>25000</v>
      </c>
      <c r="AE111" s="1069">
        <v>25333.333333333332</v>
      </c>
      <c r="AF111" s="1069">
        <v>25333.333333333332</v>
      </c>
      <c r="AG111" s="1068"/>
      <c r="AH111" s="1068">
        <f t="shared" si="9"/>
        <v>0</v>
      </c>
      <c r="AI111" s="1067"/>
    </row>
    <row r="112" spans="1:35" s="1010" customFormat="1" outlineLevel="5">
      <c r="A112" s="999"/>
      <c r="B112" s="999"/>
      <c r="C112" s="999"/>
      <c r="D112" s="1017">
        <f t="shared" si="13"/>
        <v>82</v>
      </c>
      <c r="E112" s="1026" t="s">
        <v>1945</v>
      </c>
      <c r="F112" s="988">
        <f>+'[11]7'!$P$35*0.7</f>
        <v>34032.648999999998</v>
      </c>
      <c r="G112" s="987">
        <f t="shared" si="12"/>
        <v>6.8724114103028665E-3</v>
      </c>
      <c r="H112" s="1070">
        <v>20000</v>
      </c>
      <c r="I112" s="1070">
        <v>20000</v>
      </c>
      <c r="J112" s="1070">
        <v>20000</v>
      </c>
      <c r="K112" s="1070">
        <v>19000</v>
      </c>
      <c r="L112" s="1070">
        <v>19000</v>
      </c>
      <c r="M112" s="1068">
        <v>19000</v>
      </c>
      <c r="N112" s="1068">
        <v>19000</v>
      </c>
      <c r="O112" s="1068">
        <v>19000</v>
      </c>
      <c r="P112" s="1068">
        <v>19000</v>
      </c>
      <c r="Q112" s="1068">
        <v>21000</v>
      </c>
      <c r="R112" s="1068">
        <v>21000</v>
      </c>
      <c r="S112" s="1068">
        <v>21000</v>
      </c>
      <c r="T112" s="1068">
        <v>21000</v>
      </c>
      <c r="U112" s="1073">
        <v>21000</v>
      </c>
      <c r="V112" s="1073">
        <v>22000</v>
      </c>
      <c r="W112" s="1073">
        <v>22000</v>
      </c>
      <c r="X112" s="1073">
        <v>22000</v>
      </c>
      <c r="Y112" s="1073">
        <v>22000</v>
      </c>
      <c r="Z112" s="1073">
        <v>22000</v>
      </c>
      <c r="AA112" s="1073">
        <v>20000</v>
      </c>
      <c r="AB112" s="1073">
        <v>22000</v>
      </c>
      <c r="AC112" s="1069">
        <v>22000</v>
      </c>
      <c r="AD112" s="1069">
        <v>22000</v>
      </c>
      <c r="AE112" s="1069">
        <v>22000</v>
      </c>
      <c r="AF112" s="1069">
        <v>23333.333333333332</v>
      </c>
      <c r="AG112" s="1068"/>
      <c r="AH112" s="1068">
        <f t="shared" si="9"/>
        <v>1333.3333333333321</v>
      </c>
      <c r="AI112" s="1067"/>
    </row>
    <row r="113" spans="1:35" s="1010" customFormat="1" outlineLevel="5">
      <c r="A113" s="999"/>
      <c r="B113" s="999"/>
      <c r="C113" s="999"/>
      <c r="D113" s="1017">
        <f t="shared" si="13"/>
        <v>83</v>
      </c>
      <c r="E113" s="1014" t="s">
        <v>1944</v>
      </c>
      <c r="F113" s="988">
        <f>+'[11]7'!$P$35-F112</f>
        <v>14585.421000000002</v>
      </c>
      <c r="G113" s="987">
        <f t="shared" si="12"/>
        <v>2.9453191758440863E-3</v>
      </c>
      <c r="H113" s="1070">
        <v>6167</v>
      </c>
      <c r="I113" s="1070">
        <v>6167</v>
      </c>
      <c r="J113" s="1070">
        <v>6167</v>
      </c>
      <c r="K113" s="1070">
        <v>6167</v>
      </c>
      <c r="L113" s="1070">
        <v>6167</v>
      </c>
      <c r="M113" s="1068">
        <v>6167</v>
      </c>
      <c r="N113" s="1068">
        <v>6167</v>
      </c>
      <c r="O113" s="1068">
        <v>6167</v>
      </c>
      <c r="P113" s="1068">
        <v>6167</v>
      </c>
      <c r="Q113" s="1068">
        <v>6167</v>
      </c>
      <c r="R113" s="1068">
        <v>6167</v>
      </c>
      <c r="S113" s="1068">
        <v>6167</v>
      </c>
      <c r="T113" s="1068">
        <v>6167</v>
      </c>
      <c r="U113" s="1073">
        <v>7000</v>
      </c>
      <c r="V113" s="1073">
        <v>8000</v>
      </c>
      <c r="W113" s="1073">
        <v>8000</v>
      </c>
      <c r="X113" s="1073">
        <v>8000</v>
      </c>
      <c r="Y113" s="1073">
        <v>8000</v>
      </c>
      <c r="Z113" s="1073">
        <v>8000</v>
      </c>
      <c r="AA113" s="1073">
        <v>8000</v>
      </c>
      <c r="AB113" s="1073">
        <v>8000</v>
      </c>
      <c r="AC113" s="1069">
        <v>8000</v>
      </c>
      <c r="AD113" s="1069">
        <v>8000</v>
      </c>
      <c r="AE113" s="1069">
        <v>8000</v>
      </c>
      <c r="AF113" s="1069">
        <v>8666.6666666666661</v>
      </c>
      <c r="AG113" s="1068"/>
      <c r="AH113" s="1068">
        <f t="shared" si="9"/>
        <v>666.66666666666606</v>
      </c>
      <c r="AI113" s="1067"/>
    </row>
    <row r="114" spans="1:35" s="1010" customFormat="1" outlineLevel="5">
      <c r="A114" s="999"/>
      <c r="B114" s="999"/>
      <c r="C114" s="999"/>
      <c r="D114" s="1017">
        <f t="shared" si="13"/>
        <v>84</v>
      </c>
      <c r="E114" s="1014" t="s">
        <v>1943</v>
      </c>
      <c r="F114" s="988">
        <f>+'[11]7'!$P$37*0.6</f>
        <v>12724.295399999999</v>
      </c>
      <c r="G114" s="987">
        <f t="shared" si="12"/>
        <v>2.569491222826183E-3</v>
      </c>
      <c r="H114" s="1070">
        <v>3767</v>
      </c>
      <c r="I114" s="1070">
        <v>3767</v>
      </c>
      <c r="J114" s="1070">
        <v>3767</v>
      </c>
      <c r="K114" s="1070">
        <v>3433</v>
      </c>
      <c r="L114" s="1070">
        <v>3433</v>
      </c>
      <c r="M114" s="1068">
        <v>3433</v>
      </c>
      <c r="N114" s="1068">
        <v>3433</v>
      </c>
      <c r="O114" s="1068">
        <v>3433</v>
      </c>
      <c r="P114" s="1068">
        <v>3433</v>
      </c>
      <c r="Q114" s="1068">
        <v>3600</v>
      </c>
      <c r="R114" s="1068">
        <v>3600</v>
      </c>
      <c r="S114" s="1068">
        <v>3600</v>
      </c>
      <c r="T114" s="1068">
        <v>3600</v>
      </c>
      <c r="U114" s="1073">
        <v>4000</v>
      </c>
      <c r="V114" s="1073">
        <v>4000</v>
      </c>
      <c r="W114" s="1073">
        <v>4500</v>
      </c>
      <c r="X114" s="1073">
        <v>4500</v>
      </c>
      <c r="Y114" s="1073">
        <v>4500</v>
      </c>
      <c r="Z114" s="1073">
        <v>4500</v>
      </c>
      <c r="AA114" s="1073">
        <v>4500</v>
      </c>
      <c r="AB114" s="1073">
        <v>4500</v>
      </c>
      <c r="AC114" s="1069">
        <v>4500</v>
      </c>
      <c r="AD114" s="1069">
        <v>4500</v>
      </c>
      <c r="AE114" s="1069">
        <v>4766.666666666667</v>
      </c>
      <c r="AF114" s="1069">
        <v>4766.666666666667</v>
      </c>
      <c r="AG114" s="1068"/>
      <c r="AH114" s="1068">
        <f t="shared" si="9"/>
        <v>0</v>
      </c>
      <c r="AI114" s="1067"/>
    </row>
    <row r="115" spans="1:35" s="1010" customFormat="1" outlineLevel="5">
      <c r="A115" s="999"/>
      <c r="B115" s="999"/>
      <c r="C115" s="999"/>
      <c r="D115" s="1017">
        <f t="shared" si="13"/>
        <v>85</v>
      </c>
      <c r="E115" s="1014" t="s">
        <v>1942</v>
      </c>
      <c r="F115" s="988">
        <f>+'[11]7'!$P$37*0.4</f>
        <v>8482.8636000000006</v>
      </c>
      <c r="G115" s="987">
        <f t="shared" si="12"/>
        <v>1.7129941485507889E-3</v>
      </c>
      <c r="H115" s="1070">
        <v>2000</v>
      </c>
      <c r="I115" s="1070">
        <v>2000</v>
      </c>
      <c r="J115" s="1070">
        <v>2000</v>
      </c>
      <c r="K115" s="1070">
        <v>2067</v>
      </c>
      <c r="L115" s="1070">
        <v>2067</v>
      </c>
      <c r="M115" s="1068">
        <v>2067</v>
      </c>
      <c r="N115" s="1068">
        <v>2067</v>
      </c>
      <c r="O115" s="1068">
        <v>2067</v>
      </c>
      <c r="P115" s="1068">
        <v>2067</v>
      </c>
      <c r="Q115" s="1068">
        <v>2067</v>
      </c>
      <c r="R115" s="1068">
        <v>2067</v>
      </c>
      <c r="S115" s="1068">
        <v>2067</v>
      </c>
      <c r="T115" s="1068">
        <v>2067</v>
      </c>
      <c r="U115" s="1073">
        <v>2200</v>
      </c>
      <c r="V115" s="1073">
        <v>2500</v>
      </c>
      <c r="W115" s="1073">
        <v>2500</v>
      </c>
      <c r="X115" s="1073">
        <v>3000</v>
      </c>
      <c r="Y115" s="1073">
        <v>3000</v>
      </c>
      <c r="Z115" s="1073">
        <v>3000</v>
      </c>
      <c r="AA115" s="1073">
        <v>3000</v>
      </c>
      <c r="AB115" s="1073">
        <v>3500</v>
      </c>
      <c r="AC115" s="1069">
        <v>3500</v>
      </c>
      <c r="AD115" s="1069">
        <v>3750</v>
      </c>
      <c r="AE115" s="1069">
        <v>3750</v>
      </c>
      <c r="AF115" s="1069">
        <v>3750</v>
      </c>
      <c r="AG115" s="1068"/>
      <c r="AH115" s="1068">
        <f t="shared" si="9"/>
        <v>0</v>
      </c>
      <c r="AI115" s="1067"/>
    </row>
    <row r="116" spans="1:35" s="1010" customFormat="1" outlineLevel="5">
      <c r="A116" s="999"/>
      <c r="B116" s="999"/>
      <c r="C116" s="999"/>
      <c r="D116" s="1017">
        <f t="shared" si="13"/>
        <v>86</v>
      </c>
      <c r="E116" s="1014" t="s">
        <v>1941</v>
      </c>
      <c r="F116" s="988">
        <f>+'[11]7'!$P$39</f>
        <v>5407.4847999999993</v>
      </c>
      <c r="G116" s="987">
        <f t="shared" si="12"/>
        <v>1.0919649610748581E-3</v>
      </c>
      <c r="H116" s="1070">
        <v>3100</v>
      </c>
      <c r="I116" s="1070">
        <v>3100</v>
      </c>
      <c r="J116" s="1070">
        <v>3100</v>
      </c>
      <c r="K116" s="1070">
        <v>3100</v>
      </c>
      <c r="L116" s="1070">
        <v>3100</v>
      </c>
      <c r="M116" s="1068">
        <v>3367</v>
      </c>
      <c r="N116" s="1068">
        <v>3367</v>
      </c>
      <c r="O116" s="1068">
        <v>3367</v>
      </c>
      <c r="P116" s="1068">
        <v>3367</v>
      </c>
      <c r="Q116" s="1068">
        <v>3367</v>
      </c>
      <c r="R116" s="1068">
        <v>4167</v>
      </c>
      <c r="S116" s="1068">
        <v>4167</v>
      </c>
      <c r="T116" s="1068">
        <v>4167</v>
      </c>
      <c r="U116" s="1073">
        <v>4500</v>
      </c>
      <c r="V116" s="1073">
        <v>4500</v>
      </c>
      <c r="W116" s="1073">
        <v>5000</v>
      </c>
      <c r="X116" s="1073">
        <v>5000</v>
      </c>
      <c r="Y116" s="1073">
        <v>5000</v>
      </c>
      <c r="Z116" s="1073">
        <v>5000</v>
      </c>
      <c r="AA116" s="1073">
        <v>5000</v>
      </c>
      <c r="AB116" s="1073">
        <v>5000</v>
      </c>
      <c r="AC116" s="1069">
        <v>5000</v>
      </c>
      <c r="AD116" s="1069">
        <v>5000</v>
      </c>
      <c r="AE116" s="1069">
        <v>5250</v>
      </c>
      <c r="AF116" s="1069">
        <v>5250</v>
      </c>
      <c r="AG116" s="1068"/>
      <c r="AH116" s="1068">
        <f t="shared" si="9"/>
        <v>0</v>
      </c>
      <c r="AI116" s="1067"/>
    </row>
    <row r="117" spans="1:35" s="1010" customFormat="1" outlineLevel="5">
      <c r="A117" s="999"/>
      <c r="B117" s="999"/>
      <c r="C117" s="999"/>
      <c r="D117" s="1017">
        <f t="shared" si="13"/>
        <v>87</v>
      </c>
      <c r="E117" s="1014" t="s">
        <v>1940</v>
      </c>
      <c r="F117" s="988">
        <f>+'[11]7'!$P$38+'[11]7'!$P$40</f>
        <v>16453.09391</v>
      </c>
      <c r="G117" s="987">
        <f t="shared" si="12"/>
        <v>3.3224692653771562E-3</v>
      </c>
      <c r="H117" s="1070">
        <v>900</v>
      </c>
      <c r="I117" s="1070">
        <v>900</v>
      </c>
      <c r="J117" s="1070">
        <v>800</v>
      </c>
      <c r="K117" s="1070">
        <v>733</v>
      </c>
      <c r="L117" s="1070">
        <v>733</v>
      </c>
      <c r="M117" s="1068">
        <v>733</v>
      </c>
      <c r="N117" s="1068">
        <v>733</v>
      </c>
      <c r="O117" s="1068">
        <v>733</v>
      </c>
      <c r="P117" s="1068">
        <v>733</v>
      </c>
      <c r="Q117" s="1068">
        <v>733</v>
      </c>
      <c r="R117" s="1068">
        <v>733</v>
      </c>
      <c r="S117" s="1068">
        <v>733</v>
      </c>
      <c r="T117" s="1068">
        <v>733</v>
      </c>
      <c r="U117" s="1073">
        <v>800</v>
      </c>
      <c r="V117" s="1073">
        <v>800</v>
      </c>
      <c r="W117" s="1073">
        <v>800</v>
      </c>
      <c r="X117" s="1073">
        <v>800</v>
      </c>
      <c r="Y117" s="1073">
        <v>800</v>
      </c>
      <c r="Z117" s="1073">
        <v>800</v>
      </c>
      <c r="AA117" s="1073">
        <v>800</v>
      </c>
      <c r="AB117" s="1073">
        <v>800</v>
      </c>
      <c r="AC117" s="1069">
        <v>800</v>
      </c>
      <c r="AD117" s="1069">
        <v>900</v>
      </c>
      <c r="AE117" s="1069">
        <v>1033.3333333333333</v>
      </c>
      <c r="AF117" s="1069">
        <v>1066.6666666666667</v>
      </c>
      <c r="AG117" s="1068"/>
      <c r="AH117" s="1068">
        <f t="shared" si="9"/>
        <v>33.333333333333485</v>
      </c>
      <c r="AI117" s="1067"/>
    </row>
    <row r="118" spans="1:35" outlineLevel="4">
      <c r="A118" s="999"/>
      <c r="B118" s="999"/>
      <c r="C118" s="999"/>
      <c r="D118" s="999"/>
      <c r="E118" s="1042" t="s">
        <v>1939</v>
      </c>
      <c r="F118" s="998">
        <f>SUM(F119:F125)</f>
        <v>116520.57603</v>
      </c>
      <c r="G118" s="997">
        <f>SUM(G119:G125)</f>
        <v>2.3529679874277041E-2</v>
      </c>
      <c r="H118" s="1051"/>
      <c r="I118" s="1051"/>
      <c r="J118" s="1051"/>
      <c r="K118" s="1051"/>
      <c r="L118" s="1051"/>
      <c r="M118" s="1068"/>
      <c r="N118" s="1068"/>
      <c r="O118" s="1068"/>
      <c r="P118" s="1068"/>
      <c r="Q118" s="1068"/>
      <c r="R118" s="1068"/>
      <c r="S118" s="1068"/>
      <c r="T118" s="1068"/>
      <c r="U118" s="705"/>
      <c r="V118" s="705"/>
      <c r="W118" s="705"/>
      <c r="X118" s="705"/>
      <c r="Y118" s="705"/>
      <c r="Z118" s="705"/>
      <c r="AA118" s="705"/>
      <c r="AB118" s="705"/>
      <c r="AC118" s="1069"/>
      <c r="AD118" s="1069"/>
      <c r="AE118" s="1069"/>
      <c r="AF118" s="1069"/>
      <c r="AG118" s="1068"/>
      <c r="AH118" s="1068">
        <f t="shared" si="9"/>
        <v>0</v>
      </c>
    </row>
    <row r="119" spans="1:35" s="1010" customFormat="1" outlineLevel="5">
      <c r="A119" s="999"/>
      <c r="B119" s="999"/>
      <c r="C119" s="999"/>
      <c r="D119" s="1017">
        <f>+D117+1</f>
        <v>88</v>
      </c>
      <c r="E119" s="1014" t="s">
        <v>1938</v>
      </c>
      <c r="F119" s="988">
        <f>+'[11]7'!$P$41+'[11]7'!$P$42+'[11]7'!$P$43+'[11]7'!$P$44+'[11]7'!$P$48+'[11]7'!$P$45+'[11]7'!$P$50</f>
        <v>36052.611570000001</v>
      </c>
      <c r="G119" s="987">
        <f t="shared" ref="G119:G125" si="14">+F119/$F$332</f>
        <v>7.2803142395669864E-3</v>
      </c>
      <c r="H119" s="1070">
        <v>18900</v>
      </c>
      <c r="I119" s="1070">
        <v>19000</v>
      </c>
      <c r="J119" s="1070">
        <v>17500</v>
      </c>
      <c r="K119" s="1070">
        <v>17500</v>
      </c>
      <c r="L119" s="1070">
        <v>17500</v>
      </c>
      <c r="M119" s="1068">
        <v>17500</v>
      </c>
      <c r="N119" s="1068">
        <v>17500</v>
      </c>
      <c r="O119" s="1068">
        <v>17500</v>
      </c>
      <c r="P119" s="1068">
        <v>17500</v>
      </c>
      <c r="Q119" s="1068">
        <v>17500</v>
      </c>
      <c r="R119" s="1068">
        <v>19000</v>
      </c>
      <c r="S119" s="1068">
        <v>19000</v>
      </c>
      <c r="T119" s="1068">
        <v>19000</v>
      </c>
      <c r="U119" s="1073">
        <v>19000</v>
      </c>
      <c r="V119" s="1073">
        <v>20000</v>
      </c>
      <c r="W119" s="1083">
        <v>20000</v>
      </c>
      <c r="X119" s="1073">
        <v>23000</v>
      </c>
      <c r="Y119" s="1073">
        <v>23000</v>
      </c>
      <c r="Z119" s="1073">
        <v>23000</v>
      </c>
      <c r="AA119" s="1073">
        <v>25000</v>
      </c>
      <c r="AB119" s="1073">
        <v>25000</v>
      </c>
      <c r="AC119" s="1069">
        <v>25000</v>
      </c>
      <c r="AD119" s="1069">
        <v>25000</v>
      </c>
      <c r="AE119" s="1069">
        <v>25000</v>
      </c>
      <c r="AF119" s="1069">
        <v>25000</v>
      </c>
      <c r="AG119" s="1068"/>
      <c r="AH119" s="1068">
        <f t="shared" si="9"/>
        <v>0</v>
      </c>
      <c r="AI119" s="1067"/>
    </row>
    <row r="120" spans="1:35" s="1010" customFormat="1" outlineLevel="5">
      <c r="A120" s="999"/>
      <c r="B120" s="999"/>
      <c r="C120" s="999"/>
      <c r="D120" s="1017">
        <f t="shared" ref="D120:D125" si="15">+D119+1</f>
        <v>89</v>
      </c>
      <c r="E120" s="1014" t="s">
        <v>1937</v>
      </c>
      <c r="F120" s="988">
        <f>+'[11]7'!$P$46+'[11]7'!$P$49</f>
        <v>11714.835080000001</v>
      </c>
      <c r="G120" s="987">
        <f t="shared" si="14"/>
        <v>2.3656450096966679E-3</v>
      </c>
      <c r="H120" s="1070">
        <v>12500</v>
      </c>
      <c r="I120" s="1070">
        <v>12500</v>
      </c>
      <c r="J120" s="1070">
        <v>12500</v>
      </c>
      <c r="K120" s="1070">
        <v>12500</v>
      </c>
      <c r="L120" s="1070">
        <v>12500</v>
      </c>
      <c r="M120" s="1068">
        <v>12500</v>
      </c>
      <c r="N120" s="1068">
        <v>12500</v>
      </c>
      <c r="O120" s="1068">
        <v>12500</v>
      </c>
      <c r="P120" s="1068">
        <v>12500</v>
      </c>
      <c r="Q120" s="1068">
        <v>12500</v>
      </c>
      <c r="R120" s="1068">
        <v>12500</v>
      </c>
      <c r="S120" s="1068">
        <v>12500</v>
      </c>
      <c r="T120" s="1068">
        <v>14500</v>
      </c>
      <c r="U120" s="1073">
        <v>15000</v>
      </c>
      <c r="V120" s="1073">
        <v>15000</v>
      </c>
      <c r="W120" s="1073">
        <v>15000</v>
      </c>
      <c r="X120" s="1073">
        <v>15000</v>
      </c>
      <c r="Y120" s="1073">
        <v>15000</v>
      </c>
      <c r="Z120" s="1073">
        <v>15000</v>
      </c>
      <c r="AA120" s="1073">
        <v>15000</v>
      </c>
      <c r="AB120" s="1073">
        <v>16000</v>
      </c>
      <c r="AC120" s="1069">
        <v>18000</v>
      </c>
      <c r="AD120" s="1069">
        <v>18000</v>
      </c>
      <c r="AE120" s="1069">
        <v>18000</v>
      </c>
      <c r="AF120" s="1069">
        <v>18000</v>
      </c>
      <c r="AG120" s="1068"/>
      <c r="AH120" s="1068">
        <f t="shared" si="9"/>
        <v>0</v>
      </c>
      <c r="AI120" s="1067"/>
    </row>
    <row r="121" spans="1:35" s="1010" customFormat="1" outlineLevel="5">
      <c r="A121" s="999"/>
      <c r="B121" s="999"/>
      <c r="C121" s="999"/>
      <c r="D121" s="1017">
        <f t="shared" si="15"/>
        <v>90</v>
      </c>
      <c r="E121" s="1014" t="s">
        <v>1936</v>
      </c>
      <c r="F121" s="988">
        <f>+'[11]7'!$P$47</f>
        <v>5760.679000000001</v>
      </c>
      <c r="G121" s="987">
        <f t="shared" si="14"/>
        <v>1.1632875269477882E-3</v>
      </c>
      <c r="H121" s="1070">
        <v>10000</v>
      </c>
      <c r="I121" s="1070">
        <v>10000</v>
      </c>
      <c r="J121" s="1070">
        <v>10000</v>
      </c>
      <c r="K121" s="1070">
        <v>10000</v>
      </c>
      <c r="L121" s="1070">
        <v>10000</v>
      </c>
      <c r="M121" s="1068">
        <v>10000</v>
      </c>
      <c r="N121" s="1068">
        <v>10000</v>
      </c>
      <c r="O121" s="1068">
        <v>10000</v>
      </c>
      <c r="P121" s="1068">
        <v>10000</v>
      </c>
      <c r="Q121" s="1068">
        <v>10000</v>
      </c>
      <c r="R121" s="1068">
        <v>10000</v>
      </c>
      <c r="S121" s="1068">
        <v>10000</v>
      </c>
      <c r="T121" s="1068">
        <v>10000</v>
      </c>
      <c r="U121" s="1073">
        <v>10000</v>
      </c>
      <c r="V121" s="1073">
        <v>10000</v>
      </c>
      <c r="W121" s="1073">
        <v>10000</v>
      </c>
      <c r="X121" s="1073">
        <v>10000</v>
      </c>
      <c r="Y121" s="1073">
        <v>11000</v>
      </c>
      <c r="Z121" s="1073">
        <v>11000</v>
      </c>
      <c r="AA121" s="1073">
        <v>11000</v>
      </c>
      <c r="AB121" s="1073">
        <v>12000</v>
      </c>
      <c r="AC121" s="1069">
        <v>12000</v>
      </c>
      <c r="AD121" s="1069">
        <v>12000</v>
      </c>
      <c r="AE121" s="1069">
        <v>12000</v>
      </c>
      <c r="AF121" s="1069">
        <v>12000</v>
      </c>
      <c r="AG121" s="1068"/>
      <c r="AH121" s="1068">
        <f t="shared" si="9"/>
        <v>0</v>
      </c>
      <c r="AI121" s="1067"/>
    </row>
    <row r="122" spans="1:35" s="1010" customFormat="1" outlineLevel="5">
      <c r="A122" s="999"/>
      <c r="B122" s="999"/>
      <c r="C122" s="999"/>
      <c r="D122" s="1017">
        <f t="shared" si="15"/>
        <v>91</v>
      </c>
      <c r="E122" s="1014" t="s">
        <v>1935</v>
      </c>
      <c r="F122" s="988">
        <f>+'[11]7'!$P$52</f>
        <v>24435.168499999996</v>
      </c>
      <c r="G122" s="987">
        <f t="shared" si="14"/>
        <v>4.934336166781292E-3</v>
      </c>
      <c r="H122" s="1070">
        <v>13500</v>
      </c>
      <c r="I122" s="1070">
        <v>15500</v>
      </c>
      <c r="J122" s="1070">
        <v>13500</v>
      </c>
      <c r="K122" s="1070">
        <v>13500</v>
      </c>
      <c r="L122" s="1070">
        <v>13500</v>
      </c>
      <c r="M122" s="1068">
        <v>13500</v>
      </c>
      <c r="N122" s="1068">
        <v>13500</v>
      </c>
      <c r="O122" s="1068">
        <v>13500</v>
      </c>
      <c r="P122" s="1068">
        <v>13500</v>
      </c>
      <c r="Q122" s="1068">
        <v>13500</v>
      </c>
      <c r="R122" s="1068">
        <v>13500</v>
      </c>
      <c r="S122" s="1068">
        <v>13500</v>
      </c>
      <c r="T122" s="1068">
        <v>13500</v>
      </c>
      <c r="U122" s="1073">
        <v>15000</v>
      </c>
      <c r="V122" s="1073">
        <v>15000</v>
      </c>
      <c r="W122" s="1073">
        <v>15000</v>
      </c>
      <c r="X122" s="1073">
        <v>15000</v>
      </c>
      <c r="Y122" s="1073">
        <v>15000</v>
      </c>
      <c r="Z122" s="1073">
        <v>15000</v>
      </c>
      <c r="AA122" s="1073">
        <v>15000</v>
      </c>
      <c r="AB122" s="1073">
        <v>15000</v>
      </c>
      <c r="AC122" s="1069">
        <v>15000</v>
      </c>
      <c r="AD122" s="1069">
        <v>15000</v>
      </c>
      <c r="AE122" s="1069">
        <v>15000</v>
      </c>
      <c r="AF122" s="1069">
        <v>16000</v>
      </c>
      <c r="AG122" s="1068"/>
      <c r="AH122" s="1068">
        <f t="shared" si="9"/>
        <v>1000</v>
      </c>
      <c r="AI122" s="1067"/>
    </row>
    <row r="123" spans="1:35" s="1010" customFormat="1" outlineLevel="5">
      <c r="A123" s="999"/>
      <c r="B123" s="999"/>
      <c r="C123" s="999"/>
      <c r="D123" s="1017">
        <f t="shared" si="15"/>
        <v>92</v>
      </c>
      <c r="E123" s="1014" t="s">
        <v>1934</v>
      </c>
      <c r="F123" s="988">
        <f>+'[11]7'!$P$53</f>
        <v>5867.93</v>
      </c>
      <c r="G123" s="987">
        <f t="shared" si="14"/>
        <v>1.1849453472416592E-3</v>
      </c>
      <c r="H123" s="1070">
        <v>3850</v>
      </c>
      <c r="I123" s="1070">
        <v>4000</v>
      </c>
      <c r="J123" s="1070">
        <v>3850</v>
      </c>
      <c r="K123" s="1070">
        <v>3850</v>
      </c>
      <c r="L123" s="1070">
        <v>3850</v>
      </c>
      <c r="M123" s="1068">
        <v>3850</v>
      </c>
      <c r="N123" s="1068">
        <v>4250</v>
      </c>
      <c r="O123" s="1068">
        <v>4250</v>
      </c>
      <c r="P123" s="1068">
        <v>4250</v>
      </c>
      <c r="Q123" s="1068">
        <v>4250</v>
      </c>
      <c r="R123" s="1068">
        <v>4250</v>
      </c>
      <c r="S123" s="1068">
        <v>4250</v>
      </c>
      <c r="T123" s="1068">
        <v>4250</v>
      </c>
      <c r="U123" s="1073">
        <v>4250</v>
      </c>
      <c r="V123" s="1073">
        <v>4500</v>
      </c>
      <c r="W123" s="1073">
        <v>4500</v>
      </c>
      <c r="X123" s="1073">
        <v>4500</v>
      </c>
      <c r="Y123" s="1073">
        <v>4500</v>
      </c>
      <c r="Z123" s="1073">
        <v>5000</v>
      </c>
      <c r="AA123" s="1073">
        <v>5000</v>
      </c>
      <c r="AB123" s="1073">
        <v>5000</v>
      </c>
      <c r="AC123" s="1069">
        <v>5000</v>
      </c>
      <c r="AD123" s="1069">
        <v>5000</v>
      </c>
      <c r="AE123" s="1069">
        <v>5166.666666666667</v>
      </c>
      <c r="AF123" s="1069">
        <v>5166.666666666667</v>
      </c>
      <c r="AG123" s="1068"/>
      <c r="AH123" s="1068">
        <f t="shared" si="9"/>
        <v>0</v>
      </c>
      <c r="AI123" s="1067"/>
    </row>
    <row r="124" spans="1:35" s="1010" customFormat="1" outlineLevel="5">
      <c r="A124" s="999"/>
      <c r="B124" s="999"/>
      <c r="C124" s="999"/>
      <c r="D124" s="1017">
        <f t="shared" si="15"/>
        <v>93</v>
      </c>
      <c r="E124" s="1014" t="s">
        <v>1933</v>
      </c>
      <c r="F124" s="988">
        <f>+'[11]7'!$P$55+'[11]7'!$P$51+'[11]7'!$P$54</f>
        <v>14284.8478</v>
      </c>
      <c r="G124" s="987">
        <f t="shared" si="14"/>
        <v>2.8846226755713258E-3</v>
      </c>
      <c r="H124" s="1070">
        <v>650</v>
      </c>
      <c r="I124" s="1070">
        <v>650</v>
      </c>
      <c r="J124" s="1070">
        <v>650</v>
      </c>
      <c r="K124" s="1070">
        <v>650</v>
      </c>
      <c r="L124" s="1070">
        <v>650</v>
      </c>
      <c r="M124" s="1068">
        <v>650</v>
      </c>
      <c r="N124" s="1068">
        <v>650</v>
      </c>
      <c r="O124" s="1068">
        <v>650</v>
      </c>
      <c r="P124" s="1068">
        <v>650</v>
      </c>
      <c r="Q124" s="1068">
        <v>650</v>
      </c>
      <c r="R124" s="1068">
        <v>650</v>
      </c>
      <c r="S124" s="1068">
        <v>650</v>
      </c>
      <c r="T124" s="1068">
        <v>650</v>
      </c>
      <c r="U124" s="1073">
        <v>700</v>
      </c>
      <c r="V124" s="1073">
        <v>800</v>
      </c>
      <c r="W124" s="1073">
        <v>800</v>
      </c>
      <c r="X124" s="1073">
        <v>800</v>
      </c>
      <c r="Y124" s="1073">
        <v>800</v>
      </c>
      <c r="Z124" s="1073">
        <v>800</v>
      </c>
      <c r="AA124" s="1073">
        <v>800</v>
      </c>
      <c r="AB124" s="1073">
        <v>800</v>
      </c>
      <c r="AC124" s="1069">
        <v>850</v>
      </c>
      <c r="AD124" s="1069">
        <v>900</v>
      </c>
      <c r="AE124" s="1069">
        <v>900</v>
      </c>
      <c r="AF124" s="1069">
        <v>933.33333333333337</v>
      </c>
      <c r="AG124" s="1068"/>
      <c r="AH124" s="1068">
        <f t="shared" si="9"/>
        <v>33.333333333333371</v>
      </c>
      <c r="AI124" s="1067"/>
    </row>
    <row r="125" spans="1:35" s="1010" customFormat="1" outlineLevel="5">
      <c r="A125" s="999"/>
      <c r="B125" s="999"/>
      <c r="C125" s="999"/>
      <c r="D125" s="1017">
        <f t="shared" si="15"/>
        <v>94</v>
      </c>
      <c r="E125" s="1026" t="s">
        <v>1932</v>
      </c>
      <c r="F125" s="988">
        <f>+'[11]7'!$P$56+'[11]7'!$P$57+'[11]7'!$P$58+'[11]7'!$P$59</f>
        <v>18404.504079999999</v>
      </c>
      <c r="G125" s="987">
        <f t="shared" si="14"/>
        <v>3.7165289084713231E-3</v>
      </c>
      <c r="H125" s="1070">
        <v>4500</v>
      </c>
      <c r="I125" s="1070">
        <v>4500</v>
      </c>
      <c r="J125" s="1070">
        <v>4500</v>
      </c>
      <c r="K125" s="1070">
        <v>4500</v>
      </c>
      <c r="L125" s="1070">
        <v>4500</v>
      </c>
      <c r="M125" s="1068">
        <v>4500</v>
      </c>
      <c r="N125" s="1068">
        <v>4500</v>
      </c>
      <c r="O125" s="1068">
        <v>4500</v>
      </c>
      <c r="P125" s="1068">
        <v>4500</v>
      </c>
      <c r="Q125" s="1068">
        <v>4500</v>
      </c>
      <c r="R125" s="1068">
        <v>4500</v>
      </c>
      <c r="S125" s="1068">
        <v>4500</v>
      </c>
      <c r="T125" s="1068">
        <v>4500</v>
      </c>
      <c r="U125" s="1073">
        <v>4500</v>
      </c>
      <c r="V125" s="1073">
        <v>5000</v>
      </c>
      <c r="W125" s="1073">
        <v>4800</v>
      </c>
      <c r="X125" s="1073">
        <v>4800</v>
      </c>
      <c r="Y125" s="1073">
        <v>4800</v>
      </c>
      <c r="Z125" s="1073">
        <v>5000</v>
      </c>
      <c r="AA125" s="1073">
        <v>5000</v>
      </c>
      <c r="AB125" s="1073">
        <v>5500</v>
      </c>
      <c r="AC125" s="1069">
        <v>6000</v>
      </c>
      <c r="AD125" s="1069">
        <v>6000</v>
      </c>
      <c r="AE125" s="1069">
        <v>6000</v>
      </c>
      <c r="AF125" s="1069">
        <v>6000</v>
      </c>
      <c r="AG125" s="1068"/>
      <c r="AH125" s="1068">
        <f t="shared" si="9"/>
        <v>0</v>
      </c>
      <c r="AI125" s="1067"/>
    </row>
    <row r="126" spans="1:35" outlineLevel="3">
      <c r="A126" s="999"/>
      <c r="B126" s="999"/>
      <c r="C126" s="1956" t="s">
        <v>1931</v>
      </c>
      <c r="D126" s="1956"/>
      <c r="E126" s="1956"/>
      <c r="F126" s="998">
        <f>SUM(F127:F129)</f>
        <v>36628.905130000006</v>
      </c>
      <c r="G126" s="997">
        <f>SUM(G127:G129)</f>
        <v>7.3966885611024061E-3</v>
      </c>
      <c r="H126" s="1051"/>
      <c r="I126" s="1051"/>
      <c r="J126" s="1051"/>
      <c r="K126" s="1051"/>
      <c r="L126" s="1051"/>
      <c r="M126" s="1068"/>
      <c r="N126" s="1068"/>
      <c r="O126" s="1068"/>
      <c r="P126" s="1068"/>
      <c r="Q126" s="1068"/>
      <c r="R126" s="1068"/>
      <c r="S126" s="1068"/>
      <c r="T126" s="1068"/>
      <c r="U126" s="705"/>
      <c r="V126" s="705"/>
      <c r="W126" s="705"/>
      <c r="X126" s="705"/>
      <c r="Y126" s="705"/>
      <c r="Z126" s="705"/>
      <c r="AA126" s="705"/>
      <c r="AB126" s="705"/>
      <c r="AC126" s="1069"/>
      <c r="AD126" s="1069"/>
      <c r="AE126" s="1069"/>
      <c r="AF126" s="1069"/>
      <c r="AG126" s="1068"/>
      <c r="AH126" s="1068">
        <f t="shared" si="9"/>
        <v>0</v>
      </c>
    </row>
    <row r="127" spans="1:35" s="1010" customFormat="1" outlineLevel="4">
      <c r="A127" s="999"/>
      <c r="B127" s="999"/>
      <c r="C127" s="999"/>
      <c r="D127" s="1017">
        <f>+D125+1</f>
        <v>95</v>
      </c>
      <c r="E127" s="1014" t="s">
        <v>1930</v>
      </c>
      <c r="F127" s="988">
        <f>+'[11]7'!$P$17+'[11]7'!$P$34</f>
        <v>27658.573700000001</v>
      </c>
      <c r="G127" s="987">
        <f>+F127/$F$332</f>
        <v>5.5852571890181923E-3</v>
      </c>
      <c r="H127" s="1070">
        <v>3450</v>
      </c>
      <c r="I127" s="1070">
        <v>3450</v>
      </c>
      <c r="J127" s="1070">
        <v>3450</v>
      </c>
      <c r="K127" s="1070">
        <v>3450</v>
      </c>
      <c r="L127" s="1070">
        <v>3450</v>
      </c>
      <c r="M127" s="1070">
        <v>3450</v>
      </c>
      <c r="N127" s="1070">
        <v>3450</v>
      </c>
      <c r="O127" s="1070">
        <v>3450</v>
      </c>
      <c r="P127" s="1070">
        <v>3450</v>
      </c>
      <c r="Q127" s="1070">
        <v>3450</v>
      </c>
      <c r="R127" s="1070">
        <v>3450</v>
      </c>
      <c r="S127" s="1070">
        <v>3450</v>
      </c>
      <c r="T127" s="1070">
        <v>3450</v>
      </c>
      <c r="U127" s="1070">
        <v>3450</v>
      </c>
      <c r="V127" s="1073">
        <v>3500</v>
      </c>
      <c r="W127" s="1073">
        <v>4000</v>
      </c>
      <c r="X127" s="1073">
        <v>4000</v>
      </c>
      <c r="Y127" s="1073">
        <v>4000</v>
      </c>
      <c r="Z127" s="1073">
        <v>4000</v>
      </c>
      <c r="AA127" s="1073">
        <v>4000</v>
      </c>
      <c r="AB127" s="1073">
        <v>4000</v>
      </c>
      <c r="AC127" s="1069">
        <v>4000</v>
      </c>
      <c r="AD127" s="1069">
        <v>4000</v>
      </c>
      <c r="AE127" s="1069">
        <v>4500</v>
      </c>
      <c r="AF127" s="1069">
        <v>4833.333333333333</v>
      </c>
      <c r="AG127" s="1068"/>
      <c r="AH127" s="1068">
        <f t="shared" si="9"/>
        <v>333.33333333333303</v>
      </c>
      <c r="AI127" s="1067"/>
    </row>
    <row r="128" spans="1:35" s="1010" customFormat="1" outlineLevel="4">
      <c r="A128" s="999"/>
      <c r="B128" s="999"/>
      <c r="C128" s="999"/>
      <c r="D128" s="1017">
        <f>+D127+1</f>
        <v>96</v>
      </c>
      <c r="E128" s="1014" t="s">
        <v>1929</v>
      </c>
      <c r="F128" s="988">
        <f>+'[11]7'!$P$60+'[11]7'!$P$62</f>
        <v>5133.3071600000003</v>
      </c>
      <c r="G128" s="987">
        <f>+F128/$F$332</f>
        <v>1.0365986702643513E-3</v>
      </c>
      <c r="H128" s="1070">
        <v>9500</v>
      </c>
      <c r="I128" s="1070">
        <v>10000</v>
      </c>
      <c r="J128" s="1070">
        <v>10000</v>
      </c>
      <c r="K128" s="1070">
        <v>5500</v>
      </c>
      <c r="L128" s="1070">
        <v>5500</v>
      </c>
      <c r="M128" s="1068">
        <v>5500</v>
      </c>
      <c r="N128" s="1068">
        <v>5500</v>
      </c>
      <c r="O128" s="1068">
        <v>5500</v>
      </c>
      <c r="P128" s="1068">
        <v>5500</v>
      </c>
      <c r="Q128" s="1068">
        <v>10000</v>
      </c>
      <c r="R128" s="1068">
        <v>10000</v>
      </c>
      <c r="S128" s="1068">
        <v>10000</v>
      </c>
      <c r="T128" s="1068">
        <v>10000</v>
      </c>
      <c r="U128" s="1073">
        <v>10000</v>
      </c>
      <c r="V128" s="1073">
        <v>10000</v>
      </c>
      <c r="W128" s="1073">
        <v>10000</v>
      </c>
      <c r="X128" s="1073">
        <v>10000</v>
      </c>
      <c r="Y128" s="1073">
        <v>10000</v>
      </c>
      <c r="Z128" s="1073">
        <v>10000</v>
      </c>
      <c r="AA128" s="1073">
        <v>10000</v>
      </c>
      <c r="AB128" s="1073">
        <v>10000</v>
      </c>
      <c r="AC128" s="1069">
        <v>10000</v>
      </c>
      <c r="AD128" s="1069">
        <v>10000</v>
      </c>
      <c r="AE128" s="1069">
        <v>10000</v>
      </c>
      <c r="AF128" s="1069">
        <v>10000</v>
      </c>
      <c r="AG128" s="1068"/>
      <c r="AH128" s="1068">
        <f t="shared" si="9"/>
        <v>0</v>
      </c>
      <c r="AI128" s="1067"/>
    </row>
    <row r="129" spans="1:35" s="1010" customFormat="1" outlineLevel="4">
      <c r="A129" s="999"/>
      <c r="B129" s="999"/>
      <c r="C129" s="999"/>
      <c r="D129" s="1017">
        <f>+D128+1</f>
        <v>97</v>
      </c>
      <c r="E129" s="1026" t="s">
        <v>1928</v>
      </c>
      <c r="F129" s="988">
        <f>+'[11]7'!$P$61+2000</f>
        <v>3837.0242699999999</v>
      </c>
      <c r="G129" s="987">
        <f>+F129/$F$332</f>
        <v>7.7483270181986203E-4</v>
      </c>
      <c r="H129" s="1070">
        <v>7000</v>
      </c>
      <c r="I129" s="1070">
        <v>7000</v>
      </c>
      <c r="J129" s="1070">
        <v>7000</v>
      </c>
      <c r="K129" s="1070">
        <v>8000</v>
      </c>
      <c r="L129" s="1070">
        <v>8000</v>
      </c>
      <c r="M129" s="1070">
        <v>8000</v>
      </c>
      <c r="N129" s="1070">
        <v>8000</v>
      </c>
      <c r="O129" s="1070">
        <v>8000</v>
      </c>
      <c r="P129" s="1070">
        <v>8000</v>
      </c>
      <c r="Q129" s="1070">
        <v>8000</v>
      </c>
      <c r="R129" s="1070">
        <v>8000</v>
      </c>
      <c r="S129" s="1070">
        <v>8000</v>
      </c>
      <c r="T129" s="1070">
        <v>8000</v>
      </c>
      <c r="U129" s="1073">
        <v>8000</v>
      </c>
      <c r="V129" s="1073">
        <v>6800</v>
      </c>
      <c r="W129" s="1073">
        <v>7000</v>
      </c>
      <c r="X129" s="1073">
        <v>8000</v>
      </c>
      <c r="Y129" s="1073">
        <v>8000</v>
      </c>
      <c r="Z129" s="1073">
        <v>8000</v>
      </c>
      <c r="AA129" s="1073">
        <v>8000</v>
      </c>
      <c r="AB129" s="1073">
        <v>8000</v>
      </c>
      <c r="AC129" s="1069">
        <v>9000</v>
      </c>
      <c r="AD129" s="1069">
        <v>9000</v>
      </c>
      <c r="AE129" s="1069">
        <v>9000</v>
      </c>
      <c r="AF129" s="1069">
        <v>9000</v>
      </c>
      <c r="AG129" s="1068"/>
      <c r="AH129" s="1068">
        <f t="shared" si="9"/>
        <v>0</v>
      </c>
      <c r="AI129" s="1067"/>
    </row>
    <row r="130" spans="1:35" outlineLevel="2">
      <c r="A130" s="999"/>
      <c r="B130" s="1043" t="s">
        <v>1927</v>
      </c>
      <c r="C130" s="999"/>
      <c r="D130" s="1030"/>
      <c r="E130" s="1024"/>
      <c r="F130" s="1020">
        <f>+F131</f>
        <v>272450.68008600001</v>
      </c>
      <c r="G130" s="1019">
        <f>+G131</f>
        <v>5.5017555717387805E-2</v>
      </c>
      <c r="H130" s="1051"/>
      <c r="I130" s="1051"/>
      <c r="J130" s="1051"/>
      <c r="K130" s="1051"/>
      <c r="L130" s="1051"/>
      <c r="M130" s="1068"/>
      <c r="N130" s="1068"/>
      <c r="O130" s="1068"/>
      <c r="P130" s="1068"/>
      <c r="Q130" s="1068"/>
      <c r="R130" s="1068"/>
      <c r="S130" s="1068"/>
      <c r="T130" s="1068"/>
      <c r="U130" s="705"/>
      <c r="V130" s="705"/>
      <c r="W130" s="705"/>
      <c r="X130" s="705"/>
      <c r="Y130" s="705"/>
      <c r="Z130" s="705"/>
      <c r="AA130" s="705"/>
      <c r="AB130" s="705"/>
      <c r="AC130" s="1069"/>
      <c r="AD130" s="1069"/>
      <c r="AE130" s="1069"/>
      <c r="AF130" s="1069"/>
      <c r="AG130" s="1068"/>
      <c r="AH130" s="1068">
        <f t="shared" si="9"/>
        <v>0</v>
      </c>
    </row>
    <row r="131" spans="1:35" outlineLevel="3">
      <c r="A131" s="999"/>
      <c r="B131" s="999"/>
      <c r="C131" s="1956" t="s">
        <v>1926</v>
      </c>
      <c r="D131" s="1956"/>
      <c r="E131" s="1956"/>
      <c r="F131" s="998">
        <f>+F132+F136+F140</f>
        <v>272450.68008600001</v>
      </c>
      <c r="G131" s="997">
        <f>+G132+G136+G140</f>
        <v>5.5017555717387805E-2</v>
      </c>
      <c r="H131" s="1051"/>
      <c r="I131" s="1051"/>
      <c r="J131" s="1051"/>
      <c r="K131" s="1051"/>
      <c r="L131" s="1051"/>
      <c r="M131" s="1068"/>
      <c r="N131" s="1068"/>
      <c r="O131" s="1068"/>
      <c r="P131" s="1068"/>
      <c r="Q131" s="1068"/>
      <c r="R131" s="1068"/>
      <c r="S131" s="1068"/>
      <c r="T131" s="1068"/>
      <c r="U131" s="705"/>
      <c r="V131" s="705"/>
      <c r="W131" s="705"/>
      <c r="X131" s="705"/>
      <c r="Y131" s="705"/>
      <c r="Z131" s="705"/>
      <c r="AA131" s="705"/>
      <c r="AB131" s="705"/>
      <c r="AC131" s="1069"/>
      <c r="AD131" s="1069"/>
      <c r="AE131" s="1069"/>
      <c r="AF131" s="1069"/>
      <c r="AG131" s="1068"/>
      <c r="AH131" s="1068">
        <f t="shared" si="9"/>
        <v>0</v>
      </c>
    </row>
    <row r="132" spans="1:35" outlineLevel="4">
      <c r="A132" s="999"/>
      <c r="B132" s="999"/>
      <c r="C132" s="999"/>
      <c r="D132" s="1030"/>
      <c r="E132" s="1042" t="s">
        <v>1925</v>
      </c>
      <c r="F132" s="998">
        <f>SUM(F133:F135)</f>
        <v>125553.36524000001</v>
      </c>
      <c r="G132" s="997">
        <f>SUM(G133:G135)</f>
        <v>2.5353723710349416E-2</v>
      </c>
      <c r="H132" s="1051"/>
      <c r="I132" s="1051"/>
      <c r="J132" s="1051"/>
      <c r="K132" s="1051"/>
      <c r="L132" s="1051"/>
      <c r="M132" s="1068"/>
      <c r="N132" s="1068"/>
      <c r="O132" s="1068"/>
      <c r="P132" s="1068"/>
      <c r="Q132" s="1068"/>
      <c r="R132" s="1068"/>
      <c r="S132" s="1068"/>
      <c r="T132" s="1068"/>
      <c r="U132" s="705"/>
      <c r="V132" s="705"/>
      <c r="W132" s="705"/>
      <c r="X132" s="705"/>
      <c r="Y132" s="705"/>
      <c r="Z132" s="705"/>
      <c r="AA132" s="705"/>
      <c r="AB132" s="705"/>
      <c r="AC132" s="1069"/>
      <c r="AD132" s="1069"/>
      <c r="AE132" s="1069"/>
      <c r="AF132" s="1069"/>
      <c r="AG132" s="1068"/>
      <c r="AH132" s="1068">
        <f t="shared" si="9"/>
        <v>0</v>
      </c>
    </row>
    <row r="133" spans="1:35" s="1010" customFormat="1" outlineLevel="5">
      <c r="A133" s="999"/>
      <c r="B133" s="999"/>
      <c r="C133" s="999"/>
      <c r="D133" s="1017">
        <f>D129+1</f>
        <v>98</v>
      </c>
      <c r="E133" s="1014" t="s">
        <v>1924</v>
      </c>
      <c r="F133" s="988">
        <f>+'[11]7'!$P$70*0.4+'[11]7'!$P$76*0.4</f>
        <v>32749.28832</v>
      </c>
      <c r="G133" s="987">
        <f>+F133/$F$332</f>
        <v>6.6132548991313135E-3</v>
      </c>
      <c r="H133" s="1070">
        <v>46667</v>
      </c>
      <c r="I133" s="1070">
        <v>46667</v>
      </c>
      <c r="J133" s="1070">
        <v>47000</v>
      </c>
      <c r="K133" s="1070">
        <v>47000</v>
      </c>
      <c r="L133" s="1070">
        <v>47000</v>
      </c>
      <c r="M133" s="1068">
        <v>47000</v>
      </c>
      <c r="N133" s="1068">
        <v>47000</v>
      </c>
      <c r="O133" s="1068">
        <v>47000</v>
      </c>
      <c r="P133" s="1068">
        <v>47000</v>
      </c>
      <c r="Q133" s="1068">
        <v>47000</v>
      </c>
      <c r="R133" s="1068">
        <v>48333</v>
      </c>
      <c r="S133" s="1068">
        <v>53000</v>
      </c>
      <c r="T133" s="1068">
        <v>53000</v>
      </c>
      <c r="U133" s="1073">
        <v>55000</v>
      </c>
      <c r="V133" s="1073">
        <v>55000</v>
      </c>
      <c r="W133" s="1073">
        <v>55000</v>
      </c>
      <c r="X133" s="1073">
        <v>55000</v>
      </c>
      <c r="Y133" s="1073">
        <v>55000</v>
      </c>
      <c r="Z133" s="1073">
        <v>55000</v>
      </c>
      <c r="AA133" s="1073">
        <v>55000</v>
      </c>
      <c r="AB133" s="1073">
        <v>55000</v>
      </c>
      <c r="AC133" s="1069">
        <v>55000</v>
      </c>
      <c r="AD133" s="1069">
        <v>57500</v>
      </c>
      <c r="AE133" s="1069">
        <v>62500</v>
      </c>
      <c r="AF133" s="1069">
        <v>65000</v>
      </c>
      <c r="AG133" s="1068"/>
      <c r="AH133" s="1068">
        <f t="shared" si="9"/>
        <v>2500</v>
      </c>
      <c r="AI133" s="1067"/>
    </row>
    <row r="134" spans="1:35" s="1010" customFormat="1" outlineLevel="5">
      <c r="A134" s="999"/>
      <c r="B134" s="999"/>
      <c r="C134" s="999"/>
      <c r="D134" s="1017">
        <f>+D133+1</f>
        <v>99</v>
      </c>
      <c r="E134" s="1014" t="s">
        <v>1923</v>
      </c>
      <c r="F134" s="988">
        <f>+'[11]7'!$P$72</f>
        <v>22551.616500000004</v>
      </c>
      <c r="G134" s="987">
        <f>+F134/$F$332</f>
        <v>4.5539795199419954E-3</v>
      </c>
      <c r="H134" s="1070">
        <v>30000</v>
      </c>
      <c r="I134" s="1070">
        <v>30000</v>
      </c>
      <c r="J134" s="1070">
        <v>31000</v>
      </c>
      <c r="K134" s="1070">
        <v>31000</v>
      </c>
      <c r="L134" s="1070">
        <v>35000</v>
      </c>
      <c r="M134" s="1070">
        <v>35000</v>
      </c>
      <c r="N134" s="1070">
        <v>35000</v>
      </c>
      <c r="O134" s="1070">
        <v>35000</v>
      </c>
      <c r="P134" s="1070">
        <v>35000</v>
      </c>
      <c r="Q134" s="1070">
        <v>35000</v>
      </c>
      <c r="R134" s="1070">
        <v>35000</v>
      </c>
      <c r="S134" s="1070">
        <v>35000</v>
      </c>
      <c r="T134" s="1070">
        <v>35000</v>
      </c>
      <c r="U134" s="1073">
        <v>35000</v>
      </c>
      <c r="V134" s="1073">
        <v>40000</v>
      </c>
      <c r="W134" s="1073">
        <v>45000</v>
      </c>
      <c r="X134" s="1073">
        <v>50000</v>
      </c>
      <c r="Y134" s="1073">
        <v>50000</v>
      </c>
      <c r="Z134" s="1073">
        <v>50000</v>
      </c>
      <c r="AA134" s="1073">
        <v>50000</v>
      </c>
      <c r="AB134" s="1073">
        <v>50000</v>
      </c>
      <c r="AC134" s="1069">
        <v>50000</v>
      </c>
      <c r="AD134" s="1069">
        <v>50000</v>
      </c>
      <c r="AE134" s="1069">
        <v>50000</v>
      </c>
      <c r="AF134" s="1069">
        <v>50000</v>
      </c>
      <c r="AG134" s="1068"/>
      <c r="AH134" s="1068">
        <f t="shared" si="9"/>
        <v>0</v>
      </c>
      <c r="AI134" s="1067"/>
    </row>
    <row r="135" spans="1:35" s="1010" customFormat="1" outlineLevel="5">
      <c r="A135" s="999"/>
      <c r="B135" s="999"/>
      <c r="C135" s="999"/>
      <c r="D135" s="1017">
        <f>+D134+1</f>
        <v>100</v>
      </c>
      <c r="E135" s="1014" t="s">
        <v>1922</v>
      </c>
      <c r="F135" s="988">
        <f>+'[11]7'!$P$74*0.4+'[11]7'!$P$71*0.4+'[11]7'!$P$75*0.4+'[11]7'!$P$77+'[11]7'!$P$78</f>
        <v>70252.460420000003</v>
      </c>
      <c r="G135" s="987">
        <f>+F135/$F$332</f>
        <v>1.4186489291276107E-2</v>
      </c>
      <c r="H135" s="1070">
        <v>36000</v>
      </c>
      <c r="I135" s="1070">
        <v>36000</v>
      </c>
      <c r="J135" s="1070">
        <v>36000</v>
      </c>
      <c r="K135" s="1070">
        <v>36000</v>
      </c>
      <c r="L135" s="1070">
        <v>36000</v>
      </c>
      <c r="M135" s="1070">
        <v>36000</v>
      </c>
      <c r="N135" s="1070">
        <v>36000</v>
      </c>
      <c r="O135" s="1070">
        <v>36000</v>
      </c>
      <c r="P135" s="1070">
        <v>36000</v>
      </c>
      <c r="Q135" s="1068">
        <v>38000</v>
      </c>
      <c r="R135" s="1068">
        <v>38000</v>
      </c>
      <c r="S135" s="1068">
        <v>38000</v>
      </c>
      <c r="T135" s="1068">
        <v>38000</v>
      </c>
      <c r="U135" s="1073">
        <v>38000</v>
      </c>
      <c r="V135" s="1073">
        <v>40000</v>
      </c>
      <c r="W135" s="1083">
        <v>42000</v>
      </c>
      <c r="X135" s="1073">
        <v>50000</v>
      </c>
      <c r="Y135" s="1073">
        <v>50000</v>
      </c>
      <c r="Z135" s="1073">
        <v>50000</v>
      </c>
      <c r="AA135" s="1073">
        <v>50000</v>
      </c>
      <c r="AB135" s="1073">
        <v>50000</v>
      </c>
      <c r="AC135" s="1069">
        <v>50000</v>
      </c>
      <c r="AD135" s="1069">
        <v>50000</v>
      </c>
      <c r="AE135" s="1069">
        <v>50000</v>
      </c>
      <c r="AF135" s="1069">
        <v>50000</v>
      </c>
      <c r="AG135" s="1068"/>
      <c r="AH135" s="1068">
        <f t="shared" si="9"/>
        <v>0</v>
      </c>
      <c r="AI135" s="1067"/>
    </row>
    <row r="136" spans="1:35" outlineLevel="4">
      <c r="A136" s="999"/>
      <c r="B136" s="999"/>
      <c r="C136" s="999"/>
      <c r="D136" s="1030"/>
      <c r="E136" s="1042" t="s">
        <v>1921</v>
      </c>
      <c r="F136" s="998">
        <f>SUM(F137:F139)</f>
        <v>113741.99175999999</v>
      </c>
      <c r="G136" s="997">
        <f>SUM(G137:G139)</f>
        <v>2.2968584138190321E-2</v>
      </c>
      <c r="H136" s="1051"/>
      <c r="I136" s="1051"/>
      <c r="J136" s="1051"/>
      <c r="K136" s="1051"/>
      <c r="L136" s="1051"/>
      <c r="M136" s="1068"/>
      <c r="N136" s="1068"/>
      <c r="O136" s="1068"/>
      <c r="P136" s="1068"/>
      <c r="Q136" s="1068"/>
      <c r="R136" s="1068"/>
      <c r="S136" s="1068"/>
      <c r="T136" s="1068"/>
      <c r="U136" s="874"/>
      <c r="V136" s="705"/>
      <c r="W136" s="705"/>
      <c r="X136" s="705"/>
      <c r="Y136" s="705"/>
      <c r="Z136" s="705"/>
      <c r="AA136" s="705"/>
      <c r="AB136" s="705"/>
      <c r="AC136" s="1069"/>
      <c r="AD136" s="1069"/>
      <c r="AE136" s="1069"/>
      <c r="AF136" s="1069"/>
      <c r="AG136" s="1068"/>
      <c r="AH136" s="1068">
        <f t="shared" ref="AH136:AH199" si="16">+AF136-AE136</f>
        <v>0</v>
      </c>
    </row>
    <row r="137" spans="1:35" s="1010" customFormat="1" outlineLevel="5">
      <c r="A137" s="999"/>
      <c r="B137" s="999"/>
      <c r="C137" s="999"/>
      <c r="D137" s="1017">
        <f>+D135+1</f>
        <v>101</v>
      </c>
      <c r="E137" s="1014" t="s">
        <v>1920</v>
      </c>
      <c r="F137" s="988">
        <f>+'[11]7'!$P$70*0.5</f>
        <v>38394.974999999999</v>
      </c>
      <c r="G137" s="987">
        <f>+F137/$F$332</f>
        <v>7.7533213558631095E-3</v>
      </c>
      <c r="H137" s="1070">
        <v>55000</v>
      </c>
      <c r="I137" s="1070">
        <v>55000</v>
      </c>
      <c r="J137" s="1070">
        <v>55000</v>
      </c>
      <c r="K137" s="1070">
        <v>55000</v>
      </c>
      <c r="L137" s="1070">
        <v>55000</v>
      </c>
      <c r="M137" s="1068">
        <v>55000</v>
      </c>
      <c r="N137" s="1068">
        <v>55000</v>
      </c>
      <c r="O137" s="1068">
        <v>55000</v>
      </c>
      <c r="P137" s="1068">
        <v>55000</v>
      </c>
      <c r="Q137" s="1068">
        <v>55000</v>
      </c>
      <c r="R137" s="1082">
        <v>58000</v>
      </c>
      <c r="S137" s="1082">
        <v>58000</v>
      </c>
      <c r="T137" s="1082">
        <v>58000</v>
      </c>
      <c r="U137" s="1082">
        <v>58000</v>
      </c>
      <c r="V137" s="1073">
        <v>45000</v>
      </c>
      <c r="W137" s="1073">
        <v>50000</v>
      </c>
      <c r="X137" s="1073">
        <v>50000</v>
      </c>
      <c r="Y137" s="1073">
        <v>50000</v>
      </c>
      <c r="Z137" s="1073">
        <v>50000</v>
      </c>
      <c r="AA137" s="1073">
        <v>50000</v>
      </c>
      <c r="AB137" s="1073">
        <v>50000</v>
      </c>
      <c r="AC137" s="1069">
        <v>50000</v>
      </c>
      <c r="AD137" s="1069">
        <v>50000</v>
      </c>
      <c r="AE137" s="1069">
        <v>56500</v>
      </c>
      <c r="AF137" s="1069">
        <v>56500</v>
      </c>
      <c r="AG137" s="1068"/>
      <c r="AH137" s="1068">
        <f t="shared" si="16"/>
        <v>0</v>
      </c>
      <c r="AI137" s="1067"/>
    </row>
    <row r="138" spans="1:35" s="1010" customFormat="1" outlineLevel="5">
      <c r="A138" s="999"/>
      <c r="B138" s="999"/>
      <c r="C138" s="999"/>
      <c r="D138" s="1017">
        <f>+D137+1</f>
        <v>102</v>
      </c>
      <c r="E138" s="1014" t="s">
        <v>1919</v>
      </c>
      <c r="F138" s="988">
        <f>+'[11]7'!$P$76*0.5+'[11]7'!$P$71*0.5</f>
        <v>25520.33005</v>
      </c>
      <c r="G138" s="987">
        <f>+F138/$F$332</f>
        <v>5.1534691710397014E-3</v>
      </c>
      <c r="H138" s="1070">
        <v>53000</v>
      </c>
      <c r="I138" s="1070">
        <v>53000</v>
      </c>
      <c r="J138" s="1070">
        <v>53000</v>
      </c>
      <c r="K138" s="1070">
        <v>53000</v>
      </c>
      <c r="L138" s="1070">
        <v>53000</v>
      </c>
      <c r="M138" s="1068">
        <v>53000</v>
      </c>
      <c r="N138" s="1068">
        <v>53000</v>
      </c>
      <c r="O138" s="1068">
        <v>53000</v>
      </c>
      <c r="P138" s="1068">
        <v>53000</v>
      </c>
      <c r="Q138" s="1068">
        <v>53000</v>
      </c>
      <c r="R138" s="1068">
        <v>60000</v>
      </c>
      <c r="S138" s="1068">
        <v>60000</v>
      </c>
      <c r="T138" s="1068">
        <v>60000</v>
      </c>
      <c r="U138" s="1081">
        <v>60000</v>
      </c>
      <c r="V138" s="1073">
        <v>46000</v>
      </c>
      <c r="W138" s="1073">
        <v>50000</v>
      </c>
      <c r="X138" s="1073">
        <v>54000</v>
      </c>
      <c r="Y138" s="1073">
        <v>54000</v>
      </c>
      <c r="Z138" s="1073">
        <v>54000</v>
      </c>
      <c r="AA138" s="1073">
        <v>54000</v>
      </c>
      <c r="AB138" s="1073">
        <v>55000</v>
      </c>
      <c r="AC138" s="1069">
        <v>55000</v>
      </c>
      <c r="AD138" s="1069">
        <v>55500</v>
      </c>
      <c r="AE138" s="1069">
        <v>55500</v>
      </c>
      <c r="AF138" s="1069">
        <v>55500</v>
      </c>
      <c r="AG138" s="1068"/>
      <c r="AH138" s="1068">
        <f t="shared" si="16"/>
        <v>0</v>
      </c>
      <c r="AI138" s="1067"/>
    </row>
    <row r="139" spans="1:35" s="1010" customFormat="1" ht="25.5" outlineLevel="5">
      <c r="A139" s="999"/>
      <c r="B139" s="999"/>
      <c r="C139" s="999"/>
      <c r="D139" s="1017">
        <f>+D138+1</f>
        <v>103</v>
      </c>
      <c r="E139" s="1014" t="s">
        <v>1918</v>
      </c>
      <c r="F139" s="988">
        <f>+'[11]7'!$P$73+'[11]7'!$P$74*0.6+'[11]7'!$P$75*0.5</f>
        <v>49826.686709999994</v>
      </c>
      <c r="G139" s="987">
        <f>+F139/$F$332</f>
        <v>1.0061793611287508E-2</v>
      </c>
      <c r="H139" s="1070">
        <v>37667</v>
      </c>
      <c r="I139" s="1070">
        <v>37667</v>
      </c>
      <c r="J139" s="1070">
        <v>37000</v>
      </c>
      <c r="K139" s="1070">
        <v>37000</v>
      </c>
      <c r="L139" s="1070">
        <v>37000</v>
      </c>
      <c r="M139" s="1068">
        <v>37000</v>
      </c>
      <c r="N139" s="1068">
        <v>37000</v>
      </c>
      <c r="O139" s="1068">
        <v>37000</v>
      </c>
      <c r="P139" s="1068">
        <v>37000</v>
      </c>
      <c r="Q139" s="1068">
        <v>37000</v>
      </c>
      <c r="R139" s="1068">
        <v>37000</v>
      </c>
      <c r="S139" s="1068">
        <v>37000</v>
      </c>
      <c r="T139" s="1068">
        <v>37000</v>
      </c>
      <c r="U139" s="1073">
        <v>38000</v>
      </c>
      <c r="V139" s="1073">
        <v>38000</v>
      </c>
      <c r="W139" s="1073">
        <v>40000</v>
      </c>
      <c r="X139" s="1073">
        <v>42000</v>
      </c>
      <c r="Y139" s="1073">
        <v>42000</v>
      </c>
      <c r="Z139" s="1073">
        <v>42000</v>
      </c>
      <c r="AA139" s="1073">
        <v>42000</v>
      </c>
      <c r="AB139" s="1073">
        <v>45000</v>
      </c>
      <c r="AC139" s="1069">
        <v>45000</v>
      </c>
      <c r="AD139" s="1069">
        <v>45000</v>
      </c>
      <c r="AE139" s="1069">
        <v>45000</v>
      </c>
      <c r="AF139" s="1069">
        <v>45000</v>
      </c>
      <c r="AG139" s="1068"/>
      <c r="AH139" s="1068">
        <f t="shared" si="16"/>
        <v>0</v>
      </c>
      <c r="AI139" s="1067"/>
    </row>
    <row r="140" spans="1:35" outlineLevel="4">
      <c r="A140" s="999"/>
      <c r="B140" s="999"/>
      <c r="C140" s="999"/>
      <c r="D140" s="999"/>
      <c r="E140" s="1042" t="s">
        <v>1917</v>
      </c>
      <c r="F140" s="998">
        <f>SUM(F141:F144)</f>
        <v>33155.323086000004</v>
      </c>
      <c r="G140" s="997">
        <f>SUM(G141:G144)</f>
        <v>6.6952478688480721E-3</v>
      </c>
      <c r="H140" s="1051"/>
      <c r="I140" s="1051"/>
      <c r="J140" s="1051"/>
      <c r="K140" s="1051"/>
      <c r="L140" s="1051"/>
      <c r="M140" s="1068"/>
      <c r="N140" s="1068"/>
      <c r="O140" s="1068"/>
      <c r="P140" s="1068"/>
      <c r="Q140" s="1068"/>
      <c r="R140" s="1068"/>
      <c r="S140" s="1068"/>
      <c r="T140" s="1068"/>
      <c r="U140" s="705"/>
      <c r="V140" s="705"/>
      <c r="W140" s="705"/>
      <c r="X140" s="705"/>
      <c r="Y140" s="705"/>
      <c r="Z140" s="705"/>
      <c r="AA140" s="705"/>
      <c r="AB140" s="705"/>
      <c r="AC140" s="1069"/>
      <c r="AD140" s="1069"/>
      <c r="AE140" s="1069"/>
      <c r="AF140" s="1069"/>
      <c r="AG140" s="1068"/>
      <c r="AH140" s="1068">
        <f t="shared" si="16"/>
        <v>0</v>
      </c>
    </row>
    <row r="141" spans="1:35" s="1010" customFormat="1" outlineLevel="5">
      <c r="A141" s="999"/>
      <c r="B141" s="999"/>
      <c r="C141" s="999"/>
      <c r="D141" s="1017">
        <f>+D139+1</f>
        <v>104</v>
      </c>
      <c r="E141" s="1014" t="s">
        <v>1916</v>
      </c>
      <c r="F141" s="988">
        <f>+'[11]7'!$P$70*0.1+'[11]7'!$P$79*0.5+'[11]7'!$P$76*0.1</f>
        <v>10376.049660000001</v>
      </c>
      <c r="G141" s="987">
        <f>+F141/$F$332</f>
        <v>2.0952962573455034E-3</v>
      </c>
      <c r="H141" s="1070">
        <v>18000</v>
      </c>
      <c r="I141" s="1070">
        <v>18000</v>
      </c>
      <c r="J141" s="1070">
        <v>18000</v>
      </c>
      <c r="K141" s="1070">
        <v>18000</v>
      </c>
      <c r="L141" s="1070">
        <v>18000</v>
      </c>
      <c r="M141" s="1070">
        <v>18000</v>
      </c>
      <c r="N141" s="1070">
        <v>18000</v>
      </c>
      <c r="O141" s="1070">
        <v>18000</v>
      </c>
      <c r="P141" s="1070">
        <v>18000</v>
      </c>
      <c r="Q141" s="1070">
        <v>18000</v>
      </c>
      <c r="R141" s="1070">
        <v>18000</v>
      </c>
      <c r="S141" s="1070">
        <v>20000</v>
      </c>
      <c r="T141" s="1070">
        <v>20000</v>
      </c>
      <c r="U141" s="1073">
        <v>20000</v>
      </c>
      <c r="V141" s="1073">
        <v>20000</v>
      </c>
      <c r="W141" s="1073">
        <v>20000</v>
      </c>
      <c r="X141" s="1073">
        <v>23000</v>
      </c>
      <c r="Y141" s="1073">
        <v>23000</v>
      </c>
      <c r="Z141" s="1073">
        <v>23000</v>
      </c>
      <c r="AA141" s="1073">
        <v>23000</v>
      </c>
      <c r="AB141" s="1073">
        <v>21000</v>
      </c>
      <c r="AC141" s="1069">
        <v>21000</v>
      </c>
      <c r="AD141" s="1069">
        <v>21000</v>
      </c>
      <c r="AE141" s="1069">
        <v>25000</v>
      </c>
      <c r="AF141" s="1069">
        <v>28500</v>
      </c>
      <c r="AG141" s="1068"/>
      <c r="AH141" s="1068">
        <f t="shared" si="16"/>
        <v>3500</v>
      </c>
      <c r="AI141" s="1067"/>
    </row>
    <row r="142" spans="1:35" s="1010" customFormat="1" outlineLevel="5">
      <c r="A142" s="999"/>
      <c r="B142" s="999"/>
      <c r="C142" s="999"/>
      <c r="D142" s="1017">
        <f>+D141+1</f>
        <v>105</v>
      </c>
      <c r="E142" s="1026" t="s">
        <v>1915</v>
      </c>
      <c r="F142" s="988">
        <f>+'[11]7'!$P$71*0.1+'[11]7'!$P$79*0.5</f>
        <v>6784.4665100000002</v>
      </c>
      <c r="G142" s="987">
        <f>+F142/$F$332</f>
        <v>1.3700269131604087E-3</v>
      </c>
      <c r="H142" s="1070">
        <v>16333</v>
      </c>
      <c r="I142" s="1070">
        <v>16333</v>
      </c>
      <c r="J142" s="1070">
        <v>16333</v>
      </c>
      <c r="K142" s="1070">
        <v>16333</v>
      </c>
      <c r="L142" s="1070">
        <v>16333</v>
      </c>
      <c r="M142" s="1068">
        <v>16333</v>
      </c>
      <c r="N142" s="1068">
        <v>16333</v>
      </c>
      <c r="O142" s="1068">
        <v>16333</v>
      </c>
      <c r="P142" s="1068">
        <v>16333</v>
      </c>
      <c r="Q142" s="1068">
        <v>16333</v>
      </c>
      <c r="R142" s="1068">
        <v>16333</v>
      </c>
      <c r="S142" s="1068">
        <v>16333</v>
      </c>
      <c r="T142" s="1068">
        <v>16333</v>
      </c>
      <c r="U142" s="1073">
        <v>18000</v>
      </c>
      <c r="V142" s="1073">
        <v>20000</v>
      </c>
      <c r="W142" s="1073">
        <v>20000</v>
      </c>
      <c r="X142" s="1073">
        <v>23000</v>
      </c>
      <c r="Y142" s="1073">
        <v>23000</v>
      </c>
      <c r="Z142" s="1073">
        <v>23000</v>
      </c>
      <c r="AA142" s="1073">
        <v>23000</v>
      </c>
      <c r="AB142" s="1073">
        <v>25000</v>
      </c>
      <c r="AC142" s="1069">
        <v>25000</v>
      </c>
      <c r="AD142" s="1069">
        <v>25000</v>
      </c>
      <c r="AE142" s="1069">
        <v>27500</v>
      </c>
      <c r="AF142" s="1069">
        <v>27500</v>
      </c>
      <c r="AG142" s="1068"/>
      <c r="AH142" s="1068">
        <f t="shared" si="16"/>
        <v>0</v>
      </c>
      <c r="AI142" s="1067"/>
    </row>
    <row r="143" spans="1:35" s="1010" customFormat="1" outlineLevel="5">
      <c r="A143" s="999"/>
      <c r="B143" s="999"/>
      <c r="C143" s="999"/>
      <c r="D143" s="1017">
        <f>+D142+1</f>
        <v>106</v>
      </c>
      <c r="E143" s="1014" t="s">
        <v>1914</v>
      </c>
      <c r="F143" s="988">
        <f>+'[11]7'!$P$75*0.1</f>
        <v>4646.0914000000002</v>
      </c>
      <c r="G143" s="987">
        <f>+F143/$F$332</f>
        <v>9.3821234869698276E-4</v>
      </c>
      <c r="H143" s="1070">
        <v>15333</v>
      </c>
      <c r="I143" s="1070">
        <v>15333</v>
      </c>
      <c r="J143" s="1070">
        <v>15333</v>
      </c>
      <c r="K143" s="1070">
        <v>15333</v>
      </c>
      <c r="L143" s="1070">
        <v>15333</v>
      </c>
      <c r="M143" s="1068">
        <v>15333</v>
      </c>
      <c r="N143" s="1068">
        <v>15333</v>
      </c>
      <c r="O143" s="1068">
        <v>16000</v>
      </c>
      <c r="P143" s="1068">
        <v>16000</v>
      </c>
      <c r="Q143" s="1068">
        <v>16000</v>
      </c>
      <c r="R143" s="1068">
        <v>16000</v>
      </c>
      <c r="S143" s="1068">
        <v>16000</v>
      </c>
      <c r="T143" s="1068">
        <v>16000</v>
      </c>
      <c r="U143" s="1073">
        <v>16000</v>
      </c>
      <c r="V143" s="1073">
        <v>16000</v>
      </c>
      <c r="W143" s="1073">
        <v>16000</v>
      </c>
      <c r="X143" s="1073">
        <v>18000</v>
      </c>
      <c r="Y143" s="1073">
        <v>18000</v>
      </c>
      <c r="Z143" s="1073">
        <v>18000</v>
      </c>
      <c r="AA143" s="1073">
        <v>18000</v>
      </c>
      <c r="AB143" s="1073">
        <v>18000</v>
      </c>
      <c r="AC143" s="1069">
        <v>17000</v>
      </c>
      <c r="AD143" s="1069">
        <v>17000</v>
      </c>
      <c r="AE143" s="1069">
        <v>17000</v>
      </c>
      <c r="AF143" s="1069">
        <v>17000</v>
      </c>
      <c r="AG143" s="1068"/>
      <c r="AH143" s="1068">
        <f t="shared" si="16"/>
        <v>0</v>
      </c>
      <c r="AI143" s="1067"/>
    </row>
    <row r="144" spans="1:35" s="1010" customFormat="1" outlineLevel="5">
      <c r="A144" s="999"/>
      <c r="B144" s="999"/>
      <c r="C144" s="999"/>
      <c r="D144" s="1017">
        <f>+D143+1</f>
        <v>107</v>
      </c>
      <c r="E144" s="1012" t="s">
        <v>1913</v>
      </c>
      <c r="F144" s="988">
        <f>+'[11]7'!$P$80+'[11]7'!$P$81+'[11]7'!$P$82+'[11]7'!$P$63+'[11]7'!$P$64+'[11]7'!$P$65+'[11]7'!$P$66+'[11]7'!$P$67+'[11]7'!$P$68+'[11]7'!$P$69</f>
        <v>11348.715515999998</v>
      </c>
      <c r="G144" s="987">
        <f>+F144/$F$332</f>
        <v>2.291712349645177E-3</v>
      </c>
      <c r="H144" s="1070">
        <v>2000</v>
      </c>
      <c r="I144" s="1070">
        <v>2000</v>
      </c>
      <c r="J144" s="1070">
        <v>2000</v>
      </c>
      <c r="K144" s="1070">
        <v>2000</v>
      </c>
      <c r="L144" s="1070">
        <v>2000</v>
      </c>
      <c r="M144" s="1068">
        <v>2000</v>
      </c>
      <c r="N144" s="1068">
        <v>2000</v>
      </c>
      <c r="O144" s="1068">
        <v>2000</v>
      </c>
      <c r="P144" s="1068">
        <v>2000</v>
      </c>
      <c r="Q144" s="1068">
        <v>2000</v>
      </c>
      <c r="R144" s="1068">
        <v>2000</v>
      </c>
      <c r="S144" s="1068">
        <v>2000</v>
      </c>
      <c r="T144" s="1068">
        <v>2000</v>
      </c>
      <c r="U144" s="1076">
        <v>2000</v>
      </c>
      <c r="V144" s="1073">
        <v>2000</v>
      </c>
      <c r="W144" s="1073">
        <v>2000</v>
      </c>
      <c r="X144" s="1073">
        <v>2000</v>
      </c>
      <c r="Y144" s="1073">
        <v>2000</v>
      </c>
      <c r="Z144" s="1073">
        <v>2000</v>
      </c>
      <c r="AA144" s="1073">
        <v>2000</v>
      </c>
      <c r="AB144" s="1073">
        <v>2000</v>
      </c>
      <c r="AC144" s="1069">
        <v>2000</v>
      </c>
      <c r="AD144" s="1069">
        <v>2000</v>
      </c>
      <c r="AE144" s="1069">
        <v>2000</v>
      </c>
      <c r="AF144" s="1069">
        <v>2000</v>
      </c>
      <c r="AG144" s="1068"/>
      <c r="AH144" s="1068">
        <f t="shared" si="16"/>
        <v>0</v>
      </c>
      <c r="AI144" s="1067"/>
    </row>
    <row r="145" spans="1:35" outlineLevel="1">
      <c r="A145" s="1954" t="s">
        <v>1912</v>
      </c>
      <c r="B145" s="1954"/>
      <c r="C145" s="1954"/>
      <c r="D145" s="1954"/>
      <c r="E145" s="1954"/>
      <c r="F145" s="1023">
        <f>+F146+F149+F159+F171</f>
        <v>415964.87716000003</v>
      </c>
      <c r="G145" s="1022">
        <f>+G146+G149+G159+G171</f>
        <v>8.399821501052164E-2</v>
      </c>
      <c r="H145" s="1051"/>
      <c r="I145" s="1051"/>
      <c r="J145" s="1051"/>
      <c r="K145" s="1051"/>
      <c r="L145" s="1051"/>
      <c r="M145" s="1068"/>
      <c r="N145" s="1068"/>
      <c r="O145" s="1068"/>
      <c r="P145" s="1068"/>
      <c r="Q145" s="1068"/>
      <c r="R145" s="1068"/>
      <c r="S145" s="1068"/>
      <c r="T145" s="1068"/>
      <c r="U145" s="705"/>
      <c r="V145" s="705"/>
      <c r="W145" s="705"/>
      <c r="X145" s="705"/>
      <c r="Y145" s="705"/>
      <c r="Z145" s="705"/>
      <c r="AA145" s="705"/>
      <c r="AB145" s="705"/>
      <c r="AC145" s="1069"/>
      <c r="AD145" s="1069"/>
      <c r="AE145" s="1069"/>
      <c r="AF145" s="1069"/>
      <c r="AG145" s="1068"/>
      <c r="AH145" s="1068">
        <f t="shared" si="16"/>
        <v>0</v>
      </c>
    </row>
    <row r="146" spans="1:35" outlineLevel="2">
      <c r="A146" s="386"/>
      <c r="B146" s="1041" t="s">
        <v>1672</v>
      </c>
      <c r="C146" s="1041"/>
      <c r="D146" s="1041"/>
      <c r="E146" s="1041"/>
      <c r="F146" s="1020">
        <f>+F147</f>
        <v>6582.0680700000012</v>
      </c>
      <c r="G146" s="1019">
        <f>+G147</f>
        <v>1.3291554150738655E-3</v>
      </c>
      <c r="H146" s="1051"/>
      <c r="I146" s="1051"/>
      <c r="J146" s="1051"/>
      <c r="K146" s="1051"/>
      <c r="L146" s="1051"/>
      <c r="M146" s="1068"/>
      <c r="N146" s="1068"/>
      <c r="O146" s="1068"/>
      <c r="P146" s="1068"/>
      <c r="Q146" s="1068"/>
      <c r="R146" s="1068"/>
      <c r="S146" s="1068"/>
      <c r="T146" s="1068"/>
      <c r="U146" s="705"/>
      <c r="V146" s="705"/>
      <c r="W146" s="705"/>
      <c r="X146" s="705"/>
      <c r="Y146" s="705"/>
      <c r="Z146" s="705"/>
      <c r="AA146" s="705"/>
      <c r="AB146" s="705"/>
      <c r="AC146" s="1069"/>
      <c r="AD146" s="1069"/>
      <c r="AE146" s="1069"/>
      <c r="AF146" s="1069"/>
      <c r="AG146" s="1068"/>
      <c r="AH146" s="1068">
        <f t="shared" si="16"/>
        <v>0</v>
      </c>
    </row>
    <row r="147" spans="1:35" outlineLevel="3">
      <c r="A147" s="386"/>
      <c r="B147" s="1040"/>
      <c r="C147" s="1039" t="s">
        <v>1911</v>
      </c>
      <c r="D147" s="1040"/>
      <c r="E147" s="1040"/>
      <c r="F147" s="998">
        <f>SUM(F148)</f>
        <v>6582.0680700000012</v>
      </c>
      <c r="G147" s="997">
        <f>SUM(G148)</f>
        <v>1.3291554150738655E-3</v>
      </c>
      <c r="H147" s="1051"/>
      <c r="I147" s="1051"/>
      <c r="J147" s="1051"/>
      <c r="K147" s="1051"/>
      <c r="L147" s="1051"/>
      <c r="M147" s="1068"/>
      <c r="N147" s="1068"/>
      <c r="O147" s="1068"/>
      <c r="P147" s="1068"/>
      <c r="Q147" s="1068"/>
      <c r="R147" s="1068"/>
      <c r="S147" s="1068"/>
      <c r="T147" s="1068"/>
      <c r="U147" s="705"/>
      <c r="V147" s="705"/>
      <c r="W147" s="705"/>
      <c r="X147" s="705"/>
      <c r="Y147" s="705"/>
      <c r="Z147" s="705"/>
      <c r="AA147" s="705"/>
      <c r="AB147" s="705"/>
      <c r="AC147" s="1069"/>
      <c r="AD147" s="1069"/>
      <c r="AE147" s="1069"/>
      <c r="AF147" s="1069"/>
      <c r="AG147" s="1068"/>
      <c r="AH147" s="1068">
        <f t="shared" si="16"/>
        <v>0</v>
      </c>
    </row>
    <row r="148" spans="1:35" outlineLevel="4">
      <c r="A148" s="386"/>
      <c r="B148" s="1040"/>
      <c r="C148" s="1039"/>
      <c r="D148" s="84">
        <v>108</v>
      </c>
      <c r="E148" s="1016" t="s">
        <v>1910</v>
      </c>
      <c r="F148" s="988">
        <f>+'[12]7'!$P$348+'[12]7'!$P$347</f>
        <v>6582.0680700000012</v>
      </c>
      <c r="G148" s="987">
        <f>+F148/$F$332</f>
        <v>1.3291554150738655E-3</v>
      </c>
      <c r="H148" s="1051">
        <v>150000</v>
      </c>
      <c r="I148" s="1051">
        <v>150000</v>
      </c>
      <c r="J148" s="1051">
        <v>150000</v>
      </c>
      <c r="K148" s="1051">
        <v>150000</v>
      </c>
      <c r="L148" s="1051">
        <v>150000</v>
      </c>
      <c r="M148" s="1051">
        <v>150000</v>
      </c>
      <c r="N148" s="1051">
        <v>150000</v>
      </c>
      <c r="O148" s="1051">
        <v>150000</v>
      </c>
      <c r="P148" s="1051">
        <v>150000</v>
      </c>
      <c r="Q148" s="1051">
        <v>150000</v>
      </c>
      <c r="R148" s="1051">
        <v>150000</v>
      </c>
      <c r="S148" s="1051">
        <v>150000</v>
      </c>
      <c r="T148" s="1051">
        <v>150000</v>
      </c>
      <c r="U148" s="705">
        <v>150000</v>
      </c>
      <c r="V148" s="705">
        <v>150000</v>
      </c>
      <c r="W148" s="705">
        <v>150000</v>
      </c>
      <c r="X148" s="705">
        <v>150000</v>
      </c>
      <c r="Y148" s="705">
        <v>150000</v>
      </c>
      <c r="Z148" s="705">
        <v>150000</v>
      </c>
      <c r="AA148" s="705">
        <v>150000</v>
      </c>
      <c r="AB148" s="705">
        <v>150000</v>
      </c>
      <c r="AC148" s="1069">
        <v>150000</v>
      </c>
      <c r="AD148" s="1069">
        <v>150000</v>
      </c>
      <c r="AE148" s="1069">
        <v>150000</v>
      </c>
      <c r="AF148" s="1069">
        <v>150000</v>
      </c>
      <c r="AG148" s="1068"/>
      <c r="AH148" s="1068">
        <f t="shared" si="16"/>
        <v>0</v>
      </c>
      <c r="AI148" s="1067"/>
    </row>
    <row r="149" spans="1:35" outlineLevel="2">
      <c r="A149" s="999"/>
      <c r="B149" s="1955" t="s">
        <v>1909</v>
      </c>
      <c r="C149" s="1955"/>
      <c r="D149" s="1955"/>
      <c r="E149" s="1955"/>
      <c r="F149" s="1020">
        <f>+F150+F157</f>
        <v>69508.921010000005</v>
      </c>
      <c r="G149" s="1019">
        <f>+G150+G157</f>
        <v>1.4036342039286E-2</v>
      </c>
      <c r="H149" s="1051"/>
      <c r="I149" s="1051"/>
      <c r="J149" s="1051"/>
      <c r="K149" s="1051"/>
      <c r="L149" s="1051"/>
      <c r="M149" s="1068"/>
      <c r="N149" s="1068"/>
      <c r="O149" s="1068"/>
      <c r="P149" s="1068"/>
      <c r="Q149" s="1068"/>
      <c r="R149" s="1068"/>
      <c r="S149" s="1068"/>
      <c r="T149" s="1068"/>
      <c r="U149" s="705"/>
      <c r="V149" s="705"/>
      <c r="W149" s="705"/>
      <c r="X149" s="705"/>
      <c r="Y149" s="705"/>
      <c r="Z149" s="705"/>
      <c r="AA149" s="705"/>
      <c r="AB149" s="705"/>
      <c r="AC149" s="1069"/>
      <c r="AD149" s="1069"/>
      <c r="AE149" s="1069"/>
      <c r="AF149" s="1069"/>
      <c r="AG149" s="1068"/>
      <c r="AH149" s="1068">
        <f t="shared" si="16"/>
        <v>0</v>
      </c>
    </row>
    <row r="150" spans="1:35" s="1010" customFormat="1" outlineLevel="3">
      <c r="A150" s="999"/>
      <c r="B150" s="999"/>
      <c r="C150" s="1027" t="s">
        <v>1908</v>
      </c>
      <c r="D150" s="1027"/>
      <c r="E150" s="1027"/>
      <c r="F150" s="998">
        <f>SUM(F151:F156)</f>
        <v>58394.481910000002</v>
      </c>
      <c r="G150" s="997">
        <f>SUM(G151:G156)</f>
        <v>1.1791938493445172E-2</v>
      </c>
      <c r="H150" s="1070"/>
      <c r="I150" s="1070"/>
      <c r="J150" s="1070"/>
      <c r="K150" s="1070"/>
      <c r="L150" s="1070"/>
      <c r="M150" s="1068"/>
      <c r="N150" s="1068"/>
      <c r="O150" s="1068"/>
      <c r="P150" s="1068"/>
      <c r="Q150" s="1068"/>
      <c r="R150" s="1068"/>
      <c r="S150" s="1068"/>
      <c r="T150" s="1068"/>
      <c r="U150" s="1073"/>
      <c r="V150" s="1073"/>
      <c r="W150" s="1073"/>
      <c r="X150" s="1073"/>
      <c r="Y150" s="1073"/>
      <c r="Z150" s="1073"/>
      <c r="AA150" s="1073"/>
      <c r="AB150" s="1073"/>
      <c r="AC150" s="1069"/>
      <c r="AD150" s="1069"/>
      <c r="AE150" s="1069"/>
      <c r="AF150" s="1069"/>
      <c r="AG150" s="1068"/>
      <c r="AH150" s="1068">
        <f t="shared" si="16"/>
        <v>0</v>
      </c>
    </row>
    <row r="151" spans="1:35" s="1010" customFormat="1" outlineLevel="4">
      <c r="A151" s="999"/>
      <c r="B151" s="999"/>
      <c r="C151" s="999"/>
      <c r="D151" s="1015">
        <f>+D148+1</f>
        <v>109</v>
      </c>
      <c r="E151" s="1014" t="s">
        <v>1907</v>
      </c>
      <c r="F151" s="988">
        <f>+'[11]7'!$P$359+'[11]7'!$P$358</f>
        <v>20017.839930000002</v>
      </c>
      <c r="G151" s="987">
        <f t="shared" ref="G151:G156" si="17">+F151/$F$332</f>
        <v>4.0423192312931139E-3</v>
      </c>
      <c r="H151" s="1051">
        <v>2850</v>
      </c>
      <c r="I151" s="1051">
        <v>2850</v>
      </c>
      <c r="J151" s="1051">
        <v>2850</v>
      </c>
      <c r="K151" s="1051">
        <v>2850</v>
      </c>
      <c r="L151" s="1051">
        <v>2850</v>
      </c>
      <c r="M151" s="1068">
        <v>2850</v>
      </c>
      <c r="N151" s="1068">
        <v>2900</v>
      </c>
      <c r="O151" s="1068">
        <v>2700</v>
      </c>
      <c r="P151" s="1068">
        <v>2700</v>
      </c>
      <c r="Q151" s="1068">
        <v>2700</v>
      </c>
      <c r="R151" s="1068">
        <v>2700</v>
      </c>
      <c r="S151" s="1068">
        <v>2700</v>
      </c>
      <c r="T151" s="1068">
        <v>2700</v>
      </c>
      <c r="U151" s="1073">
        <v>2600</v>
      </c>
      <c r="V151" s="1073">
        <v>2600</v>
      </c>
      <c r="W151" s="1073">
        <v>2600</v>
      </c>
      <c r="X151" s="1073">
        <v>2600</v>
      </c>
      <c r="Y151" s="1073">
        <v>2600</v>
      </c>
      <c r="Z151" s="1073">
        <v>2600</v>
      </c>
      <c r="AA151" s="1073">
        <v>2600</v>
      </c>
      <c r="AB151" s="1073">
        <v>2600</v>
      </c>
      <c r="AC151" s="1069">
        <v>2650</v>
      </c>
      <c r="AD151" s="1069">
        <v>2600</v>
      </c>
      <c r="AE151" s="1069">
        <v>2600</v>
      </c>
      <c r="AF151" s="1069">
        <v>2600</v>
      </c>
      <c r="AG151" s="1068"/>
      <c r="AH151" s="1068">
        <f t="shared" si="16"/>
        <v>0</v>
      </c>
      <c r="AI151" s="1067"/>
    </row>
    <row r="152" spans="1:35" s="1010" customFormat="1" outlineLevel="4">
      <c r="A152" s="999"/>
      <c r="B152" s="999"/>
      <c r="C152" s="999"/>
      <c r="D152" s="1015">
        <f>+D151+1</f>
        <v>110</v>
      </c>
      <c r="E152" s="1014" t="s">
        <v>1906</v>
      </c>
      <c r="F152" s="988">
        <f>+'[11]7'!$P$361</f>
        <v>1751.3307399999999</v>
      </c>
      <c r="G152" s="987">
        <f t="shared" si="17"/>
        <v>3.5365643622952076E-4</v>
      </c>
      <c r="H152" s="1051">
        <v>8200</v>
      </c>
      <c r="I152" s="1051">
        <v>8200</v>
      </c>
      <c r="J152" s="1051">
        <v>8200</v>
      </c>
      <c r="K152" s="1051">
        <v>8200</v>
      </c>
      <c r="L152" s="1051">
        <v>8200</v>
      </c>
      <c r="M152" s="1068">
        <v>8500</v>
      </c>
      <c r="N152" s="1068">
        <v>9000</v>
      </c>
      <c r="O152" s="1068">
        <v>9000</v>
      </c>
      <c r="P152" s="1068">
        <v>9000</v>
      </c>
      <c r="Q152" s="1068">
        <v>9000</v>
      </c>
      <c r="R152" s="1068">
        <v>9000</v>
      </c>
      <c r="S152" s="1068">
        <v>8750</v>
      </c>
      <c r="T152" s="1068">
        <v>8750</v>
      </c>
      <c r="U152" s="1073">
        <v>9000</v>
      </c>
      <c r="V152" s="1073">
        <v>9000</v>
      </c>
      <c r="W152" s="1073">
        <v>9000</v>
      </c>
      <c r="X152" s="1073">
        <v>9000</v>
      </c>
      <c r="Y152" s="1073">
        <v>9000</v>
      </c>
      <c r="Z152" s="1073">
        <v>9000</v>
      </c>
      <c r="AA152" s="1073">
        <v>8000</v>
      </c>
      <c r="AB152" s="1073">
        <v>8000</v>
      </c>
      <c r="AC152" s="1069">
        <v>9000</v>
      </c>
      <c r="AD152" s="1069">
        <v>9000</v>
      </c>
      <c r="AE152" s="1069">
        <v>9000</v>
      </c>
      <c r="AF152" s="1069">
        <v>9000</v>
      </c>
      <c r="AG152" s="1068"/>
      <c r="AH152" s="1068">
        <f t="shared" si="16"/>
        <v>0</v>
      </c>
      <c r="AI152" s="1067"/>
    </row>
    <row r="153" spans="1:35" s="1010" customFormat="1" outlineLevel="4">
      <c r="A153" s="999"/>
      <c r="B153" s="999"/>
      <c r="C153" s="999"/>
      <c r="D153" s="1015">
        <f>+D152+1</f>
        <v>111</v>
      </c>
      <c r="E153" s="1026" t="s">
        <v>1905</v>
      </c>
      <c r="F153" s="988">
        <f>+'[11]7'!$P$362</f>
        <v>2136.9818500000001</v>
      </c>
      <c r="G153" s="987">
        <f t="shared" si="17"/>
        <v>4.3153321534124863E-4</v>
      </c>
      <c r="H153" s="1070">
        <v>65000</v>
      </c>
      <c r="I153" s="1070">
        <v>65000</v>
      </c>
      <c r="J153" s="1070">
        <v>65000</v>
      </c>
      <c r="K153" s="1070">
        <v>65000</v>
      </c>
      <c r="L153" s="1070">
        <v>65000</v>
      </c>
      <c r="M153" s="1068">
        <v>65000</v>
      </c>
      <c r="N153" s="1068">
        <v>65000</v>
      </c>
      <c r="O153" s="1068">
        <v>65000</v>
      </c>
      <c r="P153" s="1068">
        <v>65000</v>
      </c>
      <c r="Q153" s="1068">
        <v>65000</v>
      </c>
      <c r="R153" s="1068">
        <v>65000</v>
      </c>
      <c r="S153" s="1068">
        <v>65000</v>
      </c>
      <c r="T153" s="1068">
        <v>65000</v>
      </c>
      <c r="U153" s="1073">
        <v>70000</v>
      </c>
      <c r="V153" s="1073">
        <v>70000</v>
      </c>
      <c r="W153" s="1073">
        <v>70000</v>
      </c>
      <c r="X153" s="1073">
        <v>70000</v>
      </c>
      <c r="Y153" s="1073">
        <v>70000</v>
      </c>
      <c r="Z153" s="1073">
        <v>70000</v>
      </c>
      <c r="AA153" s="1073">
        <v>70000</v>
      </c>
      <c r="AB153" s="1073">
        <v>70000</v>
      </c>
      <c r="AC153" s="1069">
        <v>70000</v>
      </c>
      <c r="AD153" s="1069">
        <v>70000</v>
      </c>
      <c r="AE153" s="1069">
        <v>71666.666666666672</v>
      </c>
      <c r="AF153" s="1069">
        <v>71666.666666666672</v>
      </c>
      <c r="AG153" s="1068"/>
      <c r="AH153" s="1068">
        <f t="shared" si="16"/>
        <v>0</v>
      </c>
      <c r="AI153" s="1067"/>
    </row>
    <row r="154" spans="1:35" s="1010" customFormat="1" outlineLevel="4">
      <c r="A154" s="999"/>
      <c r="B154" s="999"/>
      <c r="C154" s="999"/>
      <c r="D154" s="1015">
        <f>+D153+1</f>
        <v>112</v>
      </c>
      <c r="E154" s="1014" t="s">
        <v>1904</v>
      </c>
      <c r="F154" s="988">
        <f>+'[11]7'!$P$360+'[11]7'!$P$363</f>
        <v>24543.630150000001</v>
      </c>
      <c r="G154" s="987">
        <f t="shared" si="17"/>
        <v>4.9562384606944192E-3</v>
      </c>
      <c r="H154" s="1070">
        <v>385</v>
      </c>
      <c r="I154" s="1070">
        <v>385</v>
      </c>
      <c r="J154" s="1051">
        <v>385</v>
      </c>
      <c r="K154" s="1070">
        <v>385</v>
      </c>
      <c r="L154" s="1051">
        <v>385</v>
      </c>
      <c r="M154" s="1068">
        <v>385</v>
      </c>
      <c r="N154" s="1068">
        <v>385</v>
      </c>
      <c r="O154" s="1068">
        <v>365</v>
      </c>
      <c r="P154" s="1068">
        <v>365</v>
      </c>
      <c r="Q154" s="1068">
        <v>365</v>
      </c>
      <c r="R154" s="1068">
        <v>365</v>
      </c>
      <c r="S154" s="1068">
        <v>365</v>
      </c>
      <c r="T154" s="1068">
        <v>365</v>
      </c>
      <c r="U154" s="1073">
        <v>400</v>
      </c>
      <c r="V154" s="1073">
        <v>400</v>
      </c>
      <c r="W154" s="1073">
        <v>450</v>
      </c>
      <c r="X154" s="1073">
        <v>450</v>
      </c>
      <c r="Y154" s="1073">
        <v>450</v>
      </c>
      <c r="Z154" s="1073">
        <v>450</v>
      </c>
      <c r="AA154" s="1073">
        <v>400</v>
      </c>
      <c r="AB154" s="1073">
        <v>400</v>
      </c>
      <c r="AC154" s="1069">
        <v>400</v>
      </c>
      <c r="AD154" s="1069">
        <v>425</v>
      </c>
      <c r="AE154" s="1069">
        <v>425</v>
      </c>
      <c r="AF154" s="1069">
        <v>425</v>
      </c>
      <c r="AG154" s="1068"/>
      <c r="AH154" s="1068">
        <f t="shared" si="16"/>
        <v>0</v>
      </c>
      <c r="AI154" s="1067"/>
    </row>
    <row r="155" spans="1:35" s="1010" customFormat="1" outlineLevel="4">
      <c r="A155" s="999"/>
      <c r="B155" s="999"/>
      <c r="C155" s="999"/>
      <c r="D155" s="1015">
        <f>+D154+1</f>
        <v>113</v>
      </c>
      <c r="E155" s="1026" t="s">
        <v>1903</v>
      </c>
      <c r="F155" s="988">
        <f>+('[12]7'!$P$364+'[12]7'!$P$365+'[12]7'!$P$366+'[12]7'!$P$367+'[12]7'!$P$368+'[12]7'!$P$369)/2</f>
        <v>4972.34962</v>
      </c>
      <c r="G155" s="987">
        <f t="shared" si="17"/>
        <v>1.0040955749434351E-3</v>
      </c>
      <c r="H155" s="1070">
        <v>250000</v>
      </c>
      <c r="I155" s="1070">
        <v>250000</v>
      </c>
      <c r="J155" s="1051">
        <v>250000</v>
      </c>
      <c r="K155" s="1070">
        <v>250000</v>
      </c>
      <c r="L155" s="1051">
        <v>250000</v>
      </c>
      <c r="M155" s="1068">
        <v>250000</v>
      </c>
      <c r="N155" s="1068">
        <v>250000</v>
      </c>
      <c r="O155" s="1068">
        <v>250000</v>
      </c>
      <c r="P155" s="1068">
        <v>250000</v>
      </c>
      <c r="Q155" s="1068">
        <v>250000</v>
      </c>
      <c r="R155" s="1068">
        <v>250000</v>
      </c>
      <c r="S155" s="1068">
        <v>250000</v>
      </c>
      <c r="T155" s="1068">
        <v>250000</v>
      </c>
      <c r="U155" s="1073">
        <v>250000</v>
      </c>
      <c r="V155" s="1073">
        <v>250000</v>
      </c>
      <c r="W155" s="1073">
        <v>250000</v>
      </c>
      <c r="X155" s="1073">
        <v>250000</v>
      </c>
      <c r="Y155" s="1073">
        <v>250000</v>
      </c>
      <c r="Z155" s="1073">
        <v>250000</v>
      </c>
      <c r="AA155" s="1073">
        <v>250000</v>
      </c>
      <c r="AB155" s="1073">
        <v>250000</v>
      </c>
      <c r="AC155" s="1069">
        <v>250000</v>
      </c>
      <c r="AD155" s="1069">
        <v>250000</v>
      </c>
      <c r="AE155" s="1069">
        <v>250000</v>
      </c>
      <c r="AF155" s="1069">
        <v>250000</v>
      </c>
      <c r="AG155" s="1068"/>
      <c r="AH155" s="1068">
        <f t="shared" si="16"/>
        <v>0</v>
      </c>
      <c r="AI155" s="1067"/>
    </row>
    <row r="156" spans="1:35" outlineLevel="4">
      <c r="A156" s="999"/>
      <c r="B156" s="999"/>
      <c r="C156" s="999"/>
      <c r="D156" s="1015">
        <f>+D155+1</f>
        <v>114</v>
      </c>
      <c r="E156" s="1026" t="s">
        <v>1902</v>
      </c>
      <c r="F156" s="988">
        <f>+('[12]7'!$P$364+'[12]7'!$P$365+'[12]7'!$P$366+'[12]7'!$P$367+'[12]7'!$P$368+'[12]7'!$P$369)/2</f>
        <v>4972.34962</v>
      </c>
      <c r="G156" s="987">
        <f t="shared" si="17"/>
        <v>1.0040955749434351E-3</v>
      </c>
      <c r="H156" s="1070">
        <v>35000</v>
      </c>
      <c r="I156" s="1070">
        <v>35000</v>
      </c>
      <c r="J156" s="1070">
        <v>35000</v>
      </c>
      <c r="K156" s="1070">
        <v>35000</v>
      </c>
      <c r="L156" s="1070">
        <v>35000</v>
      </c>
      <c r="M156" s="1068">
        <v>35000</v>
      </c>
      <c r="N156" s="1068">
        <v>35000</v>
      </c>
      <c r="O156" s="1068">
        <v>35000</v>
      </c>
      <c r="P156" s="1068">
        <v>35000</v>
      </c>
      <c r="Q156" s="1068">
        <v>35000</v>
      </c>
      <c r="R156" s="1068">
        <v>35000</v>
      </c>
      <c r="S156" s="1068">
        <v>35000</v>
      </c>
      <c r="T156" s="1068">
        <v>35000</v>
      </c>
      <c r="U156" s="705">
        <v>40000</v>
      </c>
      <c r="V156" s="705">
        <v>40000</v>
      </c>
      <c r="W156" s="705">
        <v>40000</v>
      </c>
      <c r="X156" s="705">
        <v>40000</v>
      </c>
      <c r="Y156" s="705">
        <v>40000</v>
      </c>
      <c r="Z156" s="705">
        <v>38000</v>
      </c>
      <c r="AA156" s="705">
        <v>38000</v>
      </c>
      <c r="AB156" s="705">
        <v>38000</v>
      </c>
      <c r="AC156" s="1069">
        <v>36000</v>
      </c>
      <c r="AD156" s="1069">
        <v>38000</v>
      </c>
      <c r="AE156" s="1069">
        <v>38666.666666666664</v>
      </c>
      <c r="AF156" s="1069">
        <v>39333.333333333336</v>
      </c>
      <c r="AG156" s="1068"/>
      <c r="AH156" s="1068">
        <f t="shared" si="16"/>
        <v>666.66666666667152</v>
      </c>
      <c r="AI156" s="1067"/>
    </row>
    <row r="157" spans="1:35" s="1010" customFormat="1" outlineLevel="3">
      <c r="A157" s="999"/>
      <c r="B157" s="999"/>
      <c r="C157" s="1956" t="s">
        <v>1901</v>
      </c>
      <c r="D157" s="1956"/>
      <c r="E157" s="1956"/>
      <c r="F157" s="998">
        <f>SUM(F158)</f>
        <v>11114.4391</v>
      </c>
      <c r="G157" s="997">
        <f>SUM(G158)</f>
        <v>2.2444035458408285E-3</v>
      </c>
      <c r="H157" s="1070"/>
      <c r="I157" s="1070"/>
      <c r="J157" s="1070"/>
      <c r="K157" s="1070"/>
      <c r="L157" s="1070"/>
      <c r="M157" s="1068"/>
      <c r="N157" s="1068"/>
      <c r="O157" s="1068"/>
      <c r="P157" s="1068"/>
      <c r="Q157" s="1068"/>
      <c r="R157" s="1068"/>
      <c r="S157" s="1068"/>
      <c r="T157" s="1068"/>
      <c r="U157" s="1073"/>
      <c r="V157" s="1073"/>
      <c r="W157" s="1073"/>
      <c r="X157" s="1073"/>
      <c r="Y157" s="1073"/>
      <c r="Z157" s="1073"/>
      <c r="AA157" s="1073"/>
      <c r="AB157" s="1073"/>
      <c r="AC157" s="1069"/>
      <c r="AD157" s="1069"/>
      <c r="AE157" s="1069"/>
      <c r="AF157" s="1069"/>
      <c r="AG157" s="1068"/>
      <c r="AH157" s="1068">
        <f t="shared" si="16"/>
        <v>0</v>
      </c>
    </row>
    <row r="158" spans="1:35" ht="38.25" outlineLevel="4">
      <c r="A158" s="999"/>
      <c r="B158" s="999"/>
      <c r="C158" s="999"/>
      <c r="D158" s="1015">
        <f>+D156+1</f>
        <v>115</v>
      </c>
      <c r="E158" s="1014" t="s">
        <v>1900</v>
      </c>
      <c r="F158" s="1038">
        <f>+'[11]7'!$P$350+10000</f>
        <v>11114.4391</v>
      </c>
      <c r="G158" s="987">
        <f>+F158/$F$332</f>
        <v>2.2444035458408285E-3</v>
      </c>
      <c r="H158" s="1070">
        <v>380000</v>
      </c>
      <c r="I158" s="1070">
        <v>380000</v>
      </c>
      <c r="J158" s="1070">
        <v>380000</v>
      </c>
      <c r="K158" s="1070">
        <v>380000</v>
      </c>
      <c r="L158" s="1070">
        <v>380000</v>
      </c>
      <c r="M158" s="1068">
        <v>380000</v>
      </c>
      <c r="N158" s="1068">
        <v>400000</v>
      </c>
      <c r="O158" s="1068">
        <v>420000</v>
      </c>
      <c r="P158" s="1068">
        <v>420000</v>
      </c>
      <c r="Q158" s="1068">
        <v>420000</v>
      </c>
      <c r="R158" s="1068">
        <v>420000</v>
      </c>
      <c r="S158" s="1068">
        <v>420000</v>
      </c>
      <c r="T158" s="1068">
        <v>420000</v>
      </c>
      <c r="U158" s="700">
        <v>420000</v>
      </c>
      <c r="V158" s="705">
        <v>450000</v>
      </c>
      <c r="W158" s="705">
        <v>450000</v>
      </c>
      <c r="X158" s="705">
        <v>450000</v>
      </c>
      <c r="Y158" s="705">
        <v>450000</v>
      </c>
      <c r="Z158" s="705">
        <v>500000</v>
      </c>
      <c r="AA158" s="705">
        <v>500000</v>
      </c>
      <c r="AB158" s="705">
        <v>500000</v>
      </c>
      <c r="AC158" s="1069">
        <v>500000</v>
      </c>
      <c r="AD158" s="1069">
        <v>510000</v>
      </c>
      <c r="AE158" s="1069">
        <v>525000</v>
      </c>
      <c r="AF158" s="1069">
        <v>525000</v>
      </c>
      <c r="AG158" s="1068"/>
      <c r="AH158" s="1068">
        <f t="shared" si="16"/>
        <v>0</v>
      </c>
      <c r="AI158" s="1067"/>
    </row>
    <row r="159" spans="1:35" ht="14.25" customHeight="1" outlineLevel="2">
      <c r="A159" s="999"/>
      <c r="B159" s="1955" t="s">
        <v>1899</v>
      </c>
      <c r="C159" s="1955"/>
      <c r="D159" s="1955"/>
      <c r="E159" s="1955"/>
      <c r="F159" s="1020">
        <f>+F160+F163+F166+F168</f>
        <v>58037.973660000003</v>
      </c>
      <c r="G159" s="1019">
        <f>+G160+G163+G166+G168</f>
        <v>1.1719946702116582E-2</v>
      </c>
      <c r="H159" s="1051"/>
      <c r="I159" s="1051"/>
      <c r="J159" s="1070"/>
      <c r="K159" s="1051"/>
      <c r="L159" s="1070"/>
      <c r="M159" s="1068"/>
      <c r="N159" s="1068"/>
      <c r="O159" s="1068"/>
      <c r="P159" s="1068"/>
      <c r="Q159" s="1068"/>
      <c r="R159" s="1068"/>
      <c r="S159" s="1068"/>
      <c r="T159" s="1068"/>
      <c r="U159" s="705"/>
      <c r="V159" s="705"/>
      <c r="W159" s="705"/>
      <c r="X159" s="705"/>
      <c r="Y159" s="705"/>
      <c r="Z159" s="705"/>
      <c r="AA159" s="705"/>
      <c r="AB159" s="705"/>
      <c r="AC159" s="1069"/>
      <c r="AD159" s="1069"/>
      <c r="AE159" s="1069"/>
      <c r="AF159" s="1069"/>
      <c r="AG159" s="1068"/>
      <c r="AH159" s="1068">
        <f t="shared" si="16"/>
        <v>0</v>
      </c>
    </row>
    <row r="160" spans="1:35" s="1010" customFormat="1" ht="14.25" customHeight="1" outlineLevel="3">
      <c r="A160" s="999"/>
      <c r="B160" s="999"/>
      <c r="C160" s="1957" t="s">
        <v>1898</v>
      </c>
      <c r="D160" s="1957"/>
      <c r="E160" s="1957"/>
      <c r="F160" s="998">
        <f>SUM(F161:F162)</f>
        <v>19908.269540000001</v>
      </c>
      <c r="G160" s="997">
        <f>SUM(G161:G162)</f>
        <v>4.0201930430417282E-3</v>
      </c>
      <c r="H160" s="1070"/>
      <c r="I160" s="1070"/>
      <c r="J160" s="1070"/>
      <c r="K160" s="1070"/>
      <c r="L160" s="1070"/>
      <c r="M160" s="1068"/>
      <c r="N160" s="1068"/>
      <c r="O160" s="1068"/>
      <c r="P160" s="1068"/>
      <c r="Q160" s="1068"/>
      <c r="R160" s="1068"/>
      <c r="S160" s="1068"/>
      <c r="T160" s="1068"/>
      <c r="U160" s="1073"/>
      <c r="V160" s="1073"/>
      <c r="W160" s="1073"/>
      <c r="X160" s="1073"/>
      <c r="Y160" s="1073"/>
      <c r="Z160" s="1073"/>
      <c r="AA160" s="1073"/>
      <c r="AB160" s="1073"/>
      <c r="AC160" s="1069"/>
      <c r="AD160" s="1069"/>
      <c r="AE160" s="1069"/>
      <c r="AF160" s="1069"/>
      <c r="AG160" s="1068"/>
      <c r="AH160" s="1068">
        <f t="shared" si="16"/>
        <v>0</v>
      </c>
    </row>
    <row r="161" spans="1:35" s="1010" customFormat="1" outlineLevel="4">
      <c r="A161" s="999"/>
      <c r="B161" s="999"/>
      <c r="C161" s="999"/>
      <c r="D161" s="1017">
        <f>+D158+1</f>
        <v>116</v>
      </c>
      <c r="E161" s="1037" t="s">
        <v>1897</v>
      </c>
      <c r="F161" s="988">
        <f>+'[11]7'!$P$340</f>
        <v>8046.4301400000004</v>
      </c>
      <c r="G161" s="987">
        <f>+F161/$F$332</f>
        <v>1.6248625931628447E-3</v>
      </c>
      <c r="H161" s="1051">
        <v>1020</v>
      </c>
      <c r="I161" s="1051">
        <v>1020</v>
      </c>
      <c r="J161" s="1070">
        <v>1020</v>
      </c>
      <c r="K161" s="1051">
        <v>1020</v>
      </c>
      <c r="L161" s="1070">
        <v>1020</v>
      </c>
      <c r="M161" s="1068">
        <v>1020</v>
      </c>
      <c r="N161" s="1068">
        <v>1020</v>
      </c>
      <c r="O161" s="1068">
        <v>1020</v>
      </c>
      <c r="P161" s="1068">
        <v>1020</v>
      </c>
      <c r="Q161" s="1068">
        <v>1020</v>
      </c>
      <c r="R161" s="1068">
        <v>1020</v>
      </c>
      <c r="S161" s="1068">
        <v>1020</v>
      </c>
      <c r="T161" s="1068">
        <v>1020</v>
      </c>
      <c r="U161" s="1073">
        <v>1020</v>
      </c>
      <c r="V161" s="1073">
        <v>1020</v>
      </c>
      <c r="W161" s="1073">
        <v>1020</v>
      </c>
      <c r="X161" s="1073">
        <v>1020</v>
      </c>
      <c r="Y161" s="1073">
        <v>1020</v>
      </c>
      <c r="Z161" s="1073">
        <v>1020</v>
      </c>
      <c r="AA161" s="1073">
        <v>1020</v>
      </c>
      <c r="AB161" s="1073">
        <v>1020</v>
      </c>
      <c r="AC161" s="1069">
        <v>1020</v>
      </c>
      <c r="AD161" s="1069">
        <v>1020</v>
      </c>
      <c r="AE161" s="1069">
        <v>1020</v>
      </c>
      <c r="AF161" s="1069">
        <v>1020</v>
      </c>
      <c r="AG161" s="1068"/>
      <c r="AH161" s="1068">
        <f t="shared" si="16"/>
        <v>0</v>
      </c>
      <c r="AI161" s="1067"/>
    </row>
    <row r="162" spans="1:35" outlineLevel="4">
      <c r="A162" s="999"/>
      <c r="B162" s="999"/>
      <c r="C162" s="999"/>
      <c r="D162" s="1017">
        <f>+D161+1</f>
        <v>117</v>
      </c>
      <c r="E162" s="1014" t="s">
        <v>1896</v>
      </c>
      <c r="F162" s="988">
        <f>+'[11]7'!$P$349</f>
        <v>11861.839400000001</v>
      </c>
      <c r="G162" s="987">
        <f>+F162/$F$332</f>
        <v>2.395330449878883E-3</v>
      </c>
      <c r="H162" s="1080">
        <v>60</v>
      </c>
      <c r="I162" s="1080">
        <v>60</v>
      </c>
      <c r="J162" s="1080">
        <v>60</v>
      </c>
      <c r="K162" s="1080">
        <v>60</v>
      </c>
      <c r="L162" s="1080">
        <v>60</v>
      </c>
      <c r="M162" s="1080">
        <v>60</v>
      </c>
      <c r="N162" s="1080">
        <v>60</v>
      </c>
      <c r="O162" s="1080">
        <v>60</v>
      </c>
      <c r="P162" s="1080">
        <v>60</v>
      </c>
      <c r="Q162" s="1080">
        <v>60</v>
      </c>
      <c r="R162" s="1080">
        <v>60</v>
      </c>
      <c r="S162" s="1080">
        <v>60</v>
      </c>
      <c r="T162" s="1080">
        <v>60</v>
      </c>
      <c r="U162" s="705">
        <v>60</v>
      </c>
      <c r="V162" s="705">
        <v>60</v>
      </c>
      <c r="W162" s="705">
        <v>60</v>
      </c>
      <c r="X162" s="705">
        <v>60</v>
      </c>
      <c r="Y162" s="705">
        <v>60</v>
      </c>
      <c r="Z162" s="705">
        <v>60</v>
      </c>
      <c r="AA162" s="705">
        <v>60</v>
      </c>
      <c r="AB162" s="705">
        <v>60</v>
      </c>
      <c r="AC162" s="1069">
        <v>60</v>
      </c>
      <c r="AD162" s="1069">
        <v>60</v>
      </c>
      <c r="AE162" s="1069">
        <v>60</v>
      </c>
      <c r="AF162" s="1069">
        <v>60</v>
      </c>
      <c r="AG162" s="1068"/>
      <c r="AH162" s="1068">
        <f t="shared" si="16"/>
        <v>0</v>
      </c>
      <c r="AI162" s="1067"/>
    </row>
    <row r="163" spans="1:35" s="1010" customFormat="1" outlineLevel="3">
      <c r="A163" s="999"/>
      <c r="B163" s="999"/>
      <c r="C163" s="1956" t="s">
        <v>1895</v>
      </c>
      <c r="D163" s="1956"/>
      <c r="E163" s="1956"/>
      <c r="F163" s="998">
        <f>SUM(F164:F165)</f>
        <v>7425.6512999999995</v>
      </c>
      <c r="G163" s="997">
        <f>SUM(G164:G165)</f>
        <v>1.4995050994429002E-3</v>
      </c>
      <c r="H163" s="1070"/>
      <c r="I163" s="1070"/>
      <c r="J163" s="1070"/>
      <c r="K163" s="1070"/>
      <c r="L163" s="1070"/>
      <c r="M163" s="1068"/>
      <c r="N163" s="1068"/>
      <c r="O163" s="1068"/>
      <c r="P163" s="1068"/>
      <c r="Q163" s="1068"/>
      <c r="R163" s="1068"/>
      <c r="S163" s="1068"/>
      <c r="T163" s="1068"/>
      <c r="U163" s="1073"/>
      <c r="V163" s="1073"/>
      <c r="W163" s="1073"/>
      <c r="X163" s="1073"/>
      <c r="Y163" s="1073"/>
      <c r="Z163" s="1073"/>
      <c r="AA163" s="1073"/>
      <c r="AB163" s="1073"/>
      <c r="AC163" s="1069"/>
      <c r="AD163" s="1069"/>
      <c r="AE163" s="1069"/>
      <c r="AF163" s="1069"/>
      <c r="AG163" s="1068"/>
      <c r="AH163" s="1068">
        <f t="shared" si="16"/>
        <v>0</v>
      </c>
    </row>
    <row r="164" spans="1:35" s="1010" customFormat="1" outlineLevel="4">
      <c r="A164" s="999"/>
      <c r="B164" s="999"/>
      <c r="C164" s="999"/>
      <c r="D164" s="1017">
        <f>+D162+1</f>
        <v>118</v>
      </c>
      <c r="E164" s="1014" t="s">
        <v>1894</v>
      </c>
      <c r="F164" s="988">
        <f>+'[11]7'!$P$343*0.4</f>
        <v>2970.2605200000003</v>
      </c>
      <c r="G164" s="987">
        <f>+F164/$F$332</f>
        <v>5.9980203977716016E-4</v>
      </c>
      <c r="H164" s="1070">
        <v>1500</v>
      </c>
      <c r="I164" s="1070">
        <v>1500</v>
      </c>
      <c r="J164" s="1051">
        <v>1500</v>
      </c>
      <c r="K164" s="1070">
        <v>1500</v>
      </c>
      <c r="L164" s="1051">
        <v>1500</v>
      </c>
      <c r="M164" s="1068">
        <v>1500</v>
      </c>
      <c r="N164" s="1068">
        <v>1500</v>
      </c>
      <c r="O164" s="1068">
        <v>1500</v>
      </c>
      <c r="P164" s="1068">
        <v>1500</v>
      </c>
      <c r="Q164" s="1068">
        <v>1500</v>
      </c>
      <c r="R164" s="1068">
        <v>1500</v>
      </c>
      <c r="S164" s="1068">
        <v>1500</v>
      </c>
      <c r="T164" s="1068">
        <v>1500</v>
      </c>
      <c r="U164" s="1076">
        <v>1500</v>
      </c>
      <c r="V164" s="1073">
        <v>1500</v>
      </c>
      <c r="W164" s="1073">
        <v>1500</v>
      </c>
      <c r="X164" s="1073">
        <v>1500</v>
      </c>
      <c r="Y164" s="1073">
        <v>1500</v>
      </c>
      <c r="Z164" s="1073">
        <v>1500</v>
      </c>
      <c r="AA164" s="1073">
        <v>1500</v>
      </c>
      <c r="AB164" s="1073">
        <v>1500</v>
      </c>
      <c r="AC164" s="1069">
        <v>1500</v>
      </c>
      <c r="AD164" s="1069">
        <v>1500</v>
      </c>
      <c r="AE164" s="1069">
        <v>1500</v>
      </c>
      <c r="AF164" s="1069">
        <v>1500</v>
      </c>
      <c r="AG164" s="1068"/>
      <c r="AH164" s="1068">
        <f t="shared" si="16"/>
        <v>0</v>
      </c>
    </row>
    <row r="165" spans="1:35" outlineLevel="4">
      <c r="A165" s="999"/>
      <c r="B165" s="999"/>
      <c r="C165" s="999"/>
      <c r="D165" s="1017">
        <f>+D164+1</f>
        <v>119</v>
      </c>
      <c r="E165" s="1014" t="s">
        <v>1893</v>
      </c>
      <c r="F165" s="988">
        <f>+'[11]7'!$P$343*0.6</f>
        <v>4455.3907799999997</v>
      </c>
      <c r="G165" s="987">
        <f>+F165/$F$332</f>
        <v>8.9970305966574008E-4</v>
      </c>
      <c r="H165" s="1051">
        <v>800</v>
      </c>
      <c r="I165" s="1051">
        <v>800</v>
      </c>
      <c r="J165" s="1051">
        <v>800</v>
      </c>
      <c r="K165" s="1051">
        <v>800</v>
      </c>
      <c r="L165" s="1051">
        <v>800</v>
      </c>
      <c r="M165" s="1068">
        <v>800</v>
      </c>
      <c r="N165" s="1068">
        <v>800</v>
      </c>
      <c r="O165" s="1068">
        <v>800</v>
      </c>
      <c r="P165" s="1068">
        <v>800</v>
      </c>
      <c r="Q165" s="1068">
        <v>800</v>
      </c>
      <c r="R165" s="1068">
        <v>800</v>
      </c>
      <c r="S165" s="1068">
        <v>800</v>
      </c>
      <c r="T165" s="1068">
        <v>800</v>
      </c>
      <c r="U165" s="705">
        <v>1000</v>
      </c>
      <c r="V165" s="705">
        <v>1000</v>
      </c>
      <c r="W165" s="705">
        <v>1000</v>
      </c>
      <c r="X165" s="705">
        <v>1000</v>
      </c>
      <c r="Y165" s="705">
        <v>1000</v>
      </c>
      <c r="Z165" s="705">
        <v>1000</v>
      </c>
      <c r="AA165" s="705">
        <v>1000</v>
      </c>
      <c r="AB165" s="705">
        <v>1000</v>
      </c>
      <c r="AC165" s="1069">
        <v>1000</v>
      </c>
      <c r="AD165" s="1069">
        <v>1000</v>
      </c>
      <c r="AE165" s="1069">
        <v>1000</v>
      </c>
      <c r="AF165" s="1069">
        <v>1000</v>
      </c>
      <c r="AG165" s="1068"/>
      <c r="AH165" s="1068">
        <f t="shared" si="16"/>
        <v>0</v>
      </c>
    </row>
    <row r="166" spans="1:35" s="1010" customFormat="1" outlineLevel="3">
      <c r="A166" s="999"/>
      <c r="B166" s="999"/>
      <c r="C166" s="1956" t="s">
        <v>1892</v>
      </c>
      <c r="D166" s="1956"/>
      <c r="E166" s="1956"/>
      <c r="F166" s="998">
        <f>SUM(F167)</f>
        <v>6940.0963299999994</v>
      </c>
      <c r="G166" s="997">
        <f>SUM(G167)</f>
        <v>1.4014541508917818E-3</v>
      </c>
      <c r="H166" s="1070"/>
      <c r="I166" s="1070"/>
      <c r="J166" s="1070"/>
      <c r="K166" s="1070"/>
      <c r="L166" s="1070"/>
      <c r="M166" s="1068"/>
      <c r="N166" s="1068"/>
      <c r="O166" s="1068"/>
      <c r="P166" s="1068"/>
      <c r="Q166" s="1068"/>
      <c r="R166" s="1068"/>
      <c r="S166" s="1068"/>
      <c r="T166" s="1068"/>
      <c r="U166" s="1073"/>
      <c r="V166" s="1073"/>
      <c r="W166" s="1073"/>
      <c r="X166" s="1073"/>
      <c r="Y166" s="1073"/>
      <c r="Z166" s="1073"/>
      <c r="AA166" s="1073"/>
      <c r="AB166" s="1073"/>
      <c r="AC166" s="1069"/>
      <c r="AD166" s="1069"/>
      <c r="AE166" s="1069"/>
      <c r="AF166" s="1069"/>
      <c r="AG166" s="1068"/>
      <c r="AH166" s="1068">
        <f t="shared" si="16"/>
        <v>0</v>
      </c>
    </row>
    <row r="167" spans="1:35" outlineLevel="4">
      <c r="A167" s="999"/>
      <c r="B167" s="999"/>
      <c r="C167" s="999"/>
      <c r="D167" s="1015">
        <f>+D165+1</f>
        <v>120</v>
      </c>
      <c r="E167" s="1014" t="s">
        <v>1891</v>
      </c>
      <c r="F167" s="988">
        <f>+'[11]7'!$P$342</f>
        <v>6940.0963299999994</v>
      </c>
      <c r="G167" s="987">
        <f>+F167/$F$332</f>
        <v>1.4014541508917818E-3</v>
      </c>
      <c r="H167" s="1070">
        <v>800</v>
      </c>
      <c r="I167" s="1070">
        <v>800</v>
      </c>
      <c r="J167" s="1070">
        <v>800</v>
      </c>
      <c r="K167" s="1070">
        <v>800</v>
      </c>
      <c r="L167" s="1070">
        <v>800</v>
      </c>
      <c r="M167" s="1068">
        <v>800</v>
      </c>
      <c r="N167" s="1068">
        <v>800</v>
      </c>
      <c r="O167" s="1068">
        <v>800</v>
      </c>
      <c r="P167" s="1068">
        <v>800</v>
      </c>
      <c r="Q167" s="1068">
        <v>800</v>
      </c>
      <c r="R167" s="1068">
        <v>800</v>
      </c>
      <c r="S167" s="1068">
        <v>800</v>
      </c>
      <c r="T167" s="1068">
        <v>800</v>
      </c>
      <c r="U167" s="700">
        <v>800</v>
      </c>
      <c r="V167" s="705">
        <v>800</v>
      </c>
      <c r="W167" s="705">
        <v>800</v>
      </c>
      <c r="X167" s="705">
        <v>800</v>
      </c>
      <c r="Y167" s="705">
        <v>800</v>
      </c>
      <c r="Z167" s="705">
        <v>800</v>
      </c>
      <c r="AA167" s="705">
        <v>800</v>
      </c>
      <c r="AB167" s="705">
        <v>800</v>
      </c>
      <c r="AC167" s="1069">
        <v>800</v>
      </c>
      <c r="AD167" s="1069">
        <v>800</v>
      </c>
      <c r="AE167" s="1069">
        <v>800</v>
      </c>
      <c r="AF167" s="1069">
        <v>800</v>
      </c>
      <c r="AG167" s="1068"/>
      <c r="AH167" s="1068">
        <f t="shared" si="16"/>
        <v>0</v>
      </c>
    </row>
    <row r="168" spans="1:35" s="1010" customFormat="1" outlineLevel="3">
      <c r="A168" s="999"/>
      <c r="B168" s="999"/>
      <c r="C168" s="1956" t="s">
        <v>1890</v>
      </c>
      <c r="D168" s="1956"/>
      <c r="E168" s="1956"/>
      <c r="F168" s="998">
        <f>SUM(F169:F170)</f>
        <v>23763.95649</v>
      </c>
      <c r="G168" s="997">
        <f>SUM(G169:G170)</f>
        <v>4.7987944087401731E-3</v>
      </c>
      <c r="H168" s="1051"/>
      <c r="I168" s="1051"/>
      <c r="J168" s="1051"/>
      <c r="K168" s="1051"/>
      <c r="L168" s="1051"/>
      <c r="M168" s="1068"/>
      <c r="N168" s="1068"/>
      <c r="O168" s="1068"/>
      <c r="P168" s="1068"/>
      <c r="Q168" s="1068"/>
      <c r="R168" s="1068"/>
      <c r="S168" s="1068"/>
      <c r="T168" s="1068"/>
      <c r="U168" s="1073"/>
      <c r="V168" s="1073"/>
      <c r="W168" s="1073"/>
      <c r="X168" s="1073"/>
      <c r="Y168" s="1073"/>
      <c r="Z168" s="1073"/>
      <c r="AA168" s="1073"/>
      <c r="AB168" s="1073"/>
      <c r="AC168" s="1069"/>
      <c r="AD168" s="1069"/>
      <c r="AE168" s="1069"/>
      <c r="AF168" s="1069"/>
      <c r="AG168" s="1068"/>
      <c r="AH168" s="1068">
        <f t="shared" si="16"/>
        <v>0</v>
      </c>
    </row>
    <row r="169" spans="1:35" s="1010" customFormat="1" outlineLevel="4">
      <c r="A169" s="999"/>
      <c r="B169" s="999"/>
      <c r="C169" s="999"/>
      <c r="D169" s="1017">
        <f>+D167+1</f>
        <v>121</v>
      </c>
      <c r="E169" s="1014" t="s">
        <v>1889</v>
      </c>
      <c r="F169" s="988">
        <f>+'[11]7'!$P$344+'[11]7'!$P$345+'[11]7'!$P$346+500</f>
        <v>1161.07699</v>
      </c>
      <c r="G169" s="987">
        <f>+F169/$F$332</f>
        <v>2.3446305206262691E-4</v>
      </c>
      <c r="H169" s="1070">
        <v>800</v>
      </c>
      <c r="I169" s="1070">
        <v>800</v>
      </c>
      <c r="J169" s="1070">
        <v>800</v>
      </c>
      <c r="K169" s="1070">
        <v>800</v>
      </c>
      <c r="L169" s="1070">
        <v>800</v>
      </c>
      <c r="M169" s="1068">
        <v>800</v>
      </c>
      <c r="N169" s="1068">
        <v>800</v>
      </c>
      <c r="O169" s="1068">
        <v>800</v>
      </c>
      <c r="P169" s="1068">
        <v>800</v>
      </c>
      <c r="Q169" s="1068">
        <v>800</v>
      </c>
      <c r="R169" s="1068">
        <v>800</v>
      </c>
      <c r="S169" s="1068">
        <v>800</v>
      </c>
      <c r="T169" s="1068">
        <v>800</v>
      </c>
      <c r="U169" s="1076">
        <v>750</v>
      </c>
      <c r="V169" s="1073">
        <v>750</v>
      </c>
      <c r="W169" s="1073">
        <v>750</v>
      </c>
      <c r="X169" s="1073">
        <v>750</v>
      </c>
      <c r="Y169" s="1073">
        <v>750</v>
      </c>
      <c r="Z169" s="1073">
        <v>750</v>
      </c>
      <c r="AA169" s="1073">
        <v>750</v>
      </c>
      <c r="AB169" s="1073">
        <v>750</v>
      </c>
      <c r="AC169" s="1069">
        <v>750</v>
      </c>
      <c r="AD169" s="1069">
        <v>750</v>
      </c>
      <c r="AE169" s="1069">
        <v>750</v>
      </c>
      <c r="AF169" s="1069">
        <v>750</v>
      </c>
      <c r="AG169" s="1068"/>
      <c r="AH169" s="1068">
        <f t="shared" si="16"/>
        <v>0</v>
      </c>
    </row>
    <row r="170" spans="1:35" outlineLevel="4">
      <c r="A170" s="999"/>
      <c r="B170" s="999"/>
      <c r="C170" s="999"/>
      <c r="D170" s="1017">
        <f>+D169+1</f>
        <v>122</v>
      </c>
      <c r="E170" s="1014" t="s">
        <v>1888</v>
      </c>
      <c r="F170" s="988">
        <f>+'[11]7'!$P$339-500</f>
        <v>22602.879499999999</v>
      </c>
      <c r="G170" s="987">
        <f>+F170/$F$332</f>
        <v>4.5643313566775465E-3</v>
      </c>
      <c r="H170" s="1051">
        <v>304</v>
      </c>
      <c r="I170" s="1051">
        <v>304</v>
      </c>
      <c r="J170" s="1070">
        <v>304</v>
      </c>
      <c r="K170" s="1051">
        <v>304</v>
      </c>
      <c r="L170" s="1070">
        <v>304</v>
      </c>
      <c r="M170" s="1068">
        <v>304</v>
      </c>
      <c r="N170" s="1068">
        <v>304</v>
      </c>
      <c r="O170" s="1068">
        <v>304</v>
      </c>
      <c r="P170" s="1068">
        <v>304</v>
      </c>
      <c r="Q170" s="1068">
        <v>304</v>
      </c>
      <c r="R170" s="1068">
        <v>304</v>
      </c>
      <c r="S170" s="1068">
        <v>304</v>
      </c>
      <c r="T170" s="1068">
        <v>304</v>
      </c>
      <c r="U170" s="705">
        <v>304</v>
      </c>
      <c r="V170" s="705">
        <v>304</v>
      </c>
      <c r="W170" s="705">
        <v>304</v>
      </c>
      <c r="X170" s="705">
        <v>304</v>
      </c>
      <c r="Y170" s="705">
        <v>304</v>
      </c>
      <c r="Z170" s="705">
        <v>304</v>
      </c>
      <c r="AA170" s="705">
        <v>304</v>
      </c>
      <c r="AB170" s="705">
        <v>304</v>
      </c>
      <c r="AC170" s="1069">
        <v>304</v>
      </c>
      <c r="AD170" s="1069">
        <v>304</v>
      </c>
      <c r="AE170" s="1069">
        <v>304</v>
      </c>
      <c r="AF170" s="1069">
        <v>304</v>
      </c>
      <c r="AG170" s="1068"/>
      <c r="AH170" s="1068">
        <f t="shared" si="16"/>
        <v>0</v>
      </c>
    </row>
    <row r="171" spans="1:35" ht="14.25" customHeight="1" outlineLevel="2">
      <c r="A171" s="999"/>
      <c r="B171" s="1955" t="s">
        <v>1887</v>
      </c>
      <c r="C171" s="1955"/>
      <c r="D171" s="1955"/>
      <c r="E171" s="1955"/>
      <c r="F171" s="1020">
        <f>+F172+F175+F178</f>
        <v>281835.91442000004</v>
      </c>
      <c r="G171" s="1019">
        <f>+G172+G175+G178</f>
        <v>5.691277085404519E-2</v>
      </c>
      <c r="H171" s="1070"/>
      <c r="I171" s="1070"/>
      <c r="J171" s="1051"/>
      <c r="K171" s="1070"/>
      <c r="L171" s="1051"/>
      <c r="M171" s="1068"/>
      <c r="N171" s="1068"/>
      <c r="O171" s="1068"/>
      <c r="P171" s="1068"/>
      <c r="Q171" s="1068"/>
      <c r="R171" s="1068"/>
      <c r="S171" s="1068"/>
      <c r="T171" s="1068"/>
      <c r="U171" s="705"/>
      <c r="V171" s="705"/>
      <c r="W171" s="705"/>
      <c r="X171" s="705"/>
      <c r="Y171" s="705"/>
      <c r="Z171" s="705"/>
      <c r="AA171" s="705"/>
      <c r="AB171" s="705"/>
      <c r="AC171" s="1069"/>
      <c r="AD171" s="1069"/>
      <c r="AE171" s="1069"/>
      <c r="AF171" s="1069"/>
      <c r="AG171" s="1068"/>
      <c r="AH171" s="1068">
        <f t="shared" si="16"/>
        <v>0</v>
      </c>
    </row>
    <row r="172" spans="1:35" s="1010" customFormat="1" ht="14.25" customHeight="1" outlineLevel="3">
      <c r="A172" s="999"/>
      <c r="B172" s="999"/>
      <c r="C172" s="1957" t="s">
        <v>1886</v>
      </c>
      <c r="D172" s="1957"/>
      <c r="E172" s="1957"/>
      <c r="F172" s="998">
        <f>SUM(F173:F174)</f>
        <v>92585.585320000013</v>
      </c>
      <c r="G172" s="997">
        <f>SUM(G173:G174)</f>
        <v>1.8696347527421026E-2</v>
      </c>
      <c r="H172" s="1070"/>
      <c r="I172" s="1070"/>
      <c r="J172" s="1070"/>
      <c r="K172" s="1070"/>
      <c r="L172" s="1070"/>
      <c r="M172" s="1068"/>
      <c r="N172" s="1068"/>
      <c r="O172" s="1068"/>
      <c r="P172" s="1068"/>
      <c r="Q172" s="1068"/>
      <c r="R172" s="1068"/>
      <c r="S172" s="1068"/>
      <c r="T172" s="1068"/>
      <c r="U172" s="1073"/>
      <c r="V172" s="1073"/>
      <c r="W172" s="1073"/>
      <c r="X172" s="1073"/>
      <c r="Y172" s="1073"/>
      <c r="Z172" s="1073"/>
      <c r="AA172" s="1073"/>
      <c r="AB172" s="1073"/>
      <c r="AC172" s="1069"/>
      <c r="AD172" s="1069"/>
      <c r="AE172" s="1069"/>
      <c r="AF172" s="1069"/>
      <c r="AG172" s="1068"/>
      <c r="AH172" s="1068">
        <f t="shared" si="16"/>
        <v>0</v>
      </c>
    </row>
    <row r="173" spans="1:35" s="1010" customFormat="1" outlineLevel="4">
      <c r="A173" s="999"/>
      <c r="B173" s="999"/>
      <c r="C173" s="999"/>
      <c r="D173" s="1036">
        <f>+D170+1</f>
        <v>123</v>
      </c>
      <c r="E173" s="1014" t="s">
        <v>1885</v>
      </c>
      <c r="F173" s="988">
        <f>+'[11]7'!$P$352*0.4+'[11]7'!$P$356+'[11]7'!$P$357</f>
        <v>37148.986720000001</v>
      </c>
      <c r="G173" s="987">
        <f>+F173/$F$332</f>
        <v>7.5017116715104274E-3</v>
      </c>
      <c r="H173" s="1080">
        <v>79.8</v>
      </c>
      <c r="I173" s="1073">
        <v>79.8</v>
      </c>
      <c r="J173" s="1073">
        <v>79.8</v>
      </c>
      <c r="K173" s="1073">
        <v>79.8</v>
      </c>
      <c r="L173" s="1073">
        <v>79.8</v>
      </c>
      <c r="M173" s="1073">
        <v>79.8</v>
      </c>
      <c r="N173" s="1073">
        <v>79.8</v>
      </c>
      <c r="O173" s="1073">
        <v>79.8</v>
      </c>
      <c r="P173" s="1073">
        <v>79.8</v>
      </c>
      <c r="Q173" s="1073">
        <v>79.8</v>
      </c>
      <c r="R173" s="1073">
        <v>79.8</v>
      </c>
      <c r="S173" s="1073">
        <v>79.8</v>
      </c>
      <c r="T173" s="1073">
        <v>79.8</v>
      </c>
      <c r="U173" s="1073">
        <v>79.8</v>
      </c>
      <c r="V173" s="1073">
        <v>79.8</v>
      </c>
      <c r="W173" s="1073">
        <v>79.8</v>
      </c>
      <c r="X173" s="1073">
        <v>79.8</v>
      </c>
      <c r="Y173" s="1073">
        <v>79.8</v>
      </c>
      <c r="Z173" s="1073">
        <v>79.8</v>
      </c>
      <c r="AA173" s="1073">
        <v>79.8</v>
      </c>
      <c r="AB173" s="1073">
        <v>79.8</v>
      </c>
      <c r="AC173" s="1069">
        <v>79.8</v>
      </c>
      <c r="AD173" s="1069">
        <v>79.8</v>
      </c>
      <c r="AE173" s="1069">
        <v>79.8</v>
      </c>
      <c r="AF173" s="1069">
        <v>79.8</v>
      </c>
      <c r="AG173" s="1068"/>
      <c r="AH173" s="1068">
        <f t="shared" si="16"/>
        <v>0</v>
      </c>
    </row>
    <row r="174" spans="1:35" outlineLevel="4">
      <c r="A174" s="999"/>
      <c r="B174" s="999"/>
      <c r="C174" s="999"/>
      <c r="D174" s="1036">
        <f>+D173+1</f>
        <v>124</v>
      </c>
      <c r="E174" s="1014" t="s">
        <v>1884</v>
      </c>
      <c r="F174" s="988">
        <f>+'[11]7'!$P$352*0.6</f>
        <v>55436.598600000005</v>
      </c>
      <c r="G174" s="987">
        <f>+F174/$F$332</f>
        <v>1.1194635855910599E-2</v>
      </c>
      <c r="H174" s="1080">
        <v>79.8</v>
      </c>
      <c r="I174" s="1080">
        <v>79.8</v>
      </c>
      <c r="J174" s="1080">
        <v>79.8</v>
      </c>
      <c r="K174" s="1080">
        <v>79.8</v>
      </c>
      <c r="L174" s="1080">
        <v>79.8</v>
      </c>
      <c r="M174" s="1080">
        <v>79.8</v>
      </c>
      <c r="N174" s="1080">
        <v>79.8</v>
      </c>
      <c r="O174" s="1080">
        <v>79.8</v>
      </c>
      <c r="P174" s="1080">
        <v>79.8</v>
      </c>
      <c r="Q174" s="1080">
        <v>79.8</v>
      </c>
      <c r="R174" s="1080">
        <v>79.8</v>
      </c>
      <c r="S174" s="1080">
        <v>79.8</v>
      </c>
      <c r="T174" s="1080">
        <v>79.8</v>
      </c>
      <c r="U174" s="1080">
        <v>79.8</v>
      </c>
      <c r="V174" s="705">
        <v>79.8</v>
      </c>
      <c r="W174" s="705">
        <v>79.8</v>
      </c>
      <c r="X174" s="705">
        <v>79.8</v>
      </c>
      <c r="Y174" s="705">
        <v>79.8</v>
      </c>
      <c r="Z174" s="705">
        <v>79.8</v>
      </c>
      <c r="AA174" s="705">
        <v>79.8</v>
      </c>
      <c r="AB174" s="705">
        <v>79.8</v>
      </c>
      <c r="AC174" s="1069">
        <v>79.8</v>
      </c>
      <c r="AD174" s="1069">
        <v>79.8</v>
      </c>
      <c r="AE174" s="1069">
        <v>79.8</v>
      </c>
      <c r="AF174" s="1069">
        <v>79.8</v>
      </c>
      <c r="AG174" s="1068"/>
      <c r="AH174" s="1068">
        <f t="shared" si="16"/>
        <v>0</v>
      </c>
    </row>
    <row r="175" spans="1:35" s="1010" customFormat="1" outlineLevel="3">
      <c r="A175" s="999"/>
      <c r="B175" s="999"/>
      <c r="C175" s="1956" t="s">
        <v>1883</v>
      </c>
      <c r="D175" s="1956"/>
      <c r="E175" s="1956"/>
      <c r="F175" s="998">
        <f>SUM(F176:F177)</f>
        <v>182486.0209</v>
      </c>
      <c r="G175" s="997">
        <f>SUM(G176:G177)</f>
        <v>3.6850467098636E-2</v>
      </c>
      <c r="H175" s="1070"/>
      <c r="I175" s="1070"/>
      <c r="J175" s="1070"/>
      <c r="K175" s="1070"/>
      <c r="L175" s="1070"/>
      <c r="M175" s="1068"/>
      <c r="N175" s="1068"/>
      <c r="O175" s="1068"/>
      <c r="P175" s="1068"/>
      <c r="Q175" s="1068"/>
      <c r="R175" s="1068"/>
      <c r="S175" s="1068"/>
      <c r="T175" s="1068"/>
      <c r="U175" s="1073"/>
      <c r="V175" s="1073"/>
      <c r="W175" s="1073"/>
      <c r="X175" s="1073"/>
      <c r="Y175" s="1073"/>
      <c r="Z175" s="1073"/>
      <c r="AA175" s="1073"/>
      <c r="AB175" s="1073"/>
      <c r="AC175" s="1069"/>
      <c r="AD175" s="1069"/>
      <c r="AE175" s="1069"/>
      <c r="AF175" s="1069"/>
      <c r="AG175" s="1068"/>
      <c r="AH175" s="1068">
        <f t="shared" si="16"/>
        <v>0</v>
      </c>
    </row>
    <row r="176" spans="1:35" s="1010" customFormat="1" outlineLevel="4">
      <c r="A176" s="999"/>
      <c r="B176" s="999"/>
      <c r="C176" s="999"/>
      <c r="D176" s="1015">
        <f>+D174+1</f>
        <v>125</v>
      </c>
      <c r="E176" s="1014" t="s">
        <v>1882</v>
      </c>
      <c r="F176" s="988">
        <f>+'[11]7'!$P$353+'[11]7'!$P$354</f>
        <v>71652.540699999998</v>
      </c>
      <c r="G176" s="987">
        <f>+F176/$F$332</f>
        <v>1.4469215672393605E-2</v>
      </c>
      <c r="H176" s="1070">
        <v>3500</v>
      </c>
      <c r="I176" s="1070">
        <v>3500</v>
      </c>
      <c r="J176" s="1070">
        <v>3500</v>
      </c>
      <c r="K176" s="1070">
        <v>3500</v>
      </c>
      <c r="L176" s="1051">
        <v>3500</v>
      </c>
      <c r="M176" s="1068">
        <v>3200</v>
      </c>
      <c r="N176" s="1068">
        <v>3200</v>
      </c>
      <c r="O176" s="1068">
        <v>3000</v>
      </c>
      <c r="P176" s="1068">
        <v>3000</v>
      </c>
      <c r="Q176" s="1068">
        <v>3500</v>
      </c>
      <c r="R176" s="1068">
        <v>4500</v>
      </c>
      <c r="S176" s="1068">
        <v>4500</v>
      </c>
      <c r="T176" s="1068">
        <v>5000</v>
      </c>
      <c r="U176" s="1073">
        <v>5000</v>
      </c>
      <c r="V176" s="1073">
        <v>5500</v>
      </c>
      <c r="W176" s="1073">
        <v>5000</v>
      </c>
      <c r="X176" s="1073">
        <v>5000</v>
      </c>
      <c r="Y176" s="1073">
        <v>5000</v>
      </c>
      <c r="Z176" s="1073">
        <v>5000</v>
      </c>
      <c r="AA176" s="1073">
        <v>5000</v>
      </c>
      <c r="AB176" s="1073">
        <v>5000</v>
      </c>
      <c r="AC176" s="1069">
        <v>5700</v>
      </c>
      <c r="AD176" s="1069">
        <v>6000</v>
      </c>
      <c r="AE176" s="1069">
        <v>6000</v>
      </c>
      <c r="AF176" s="1069">
        <v>6000</v>
      </c>
      <c r="AG176" s="1068"/>
      <c r="AH176" s="1068">
        <f t="shared" si="16"/>
        <v>0</v>
      </c>
    </row>
    <row r="177" spans="1:35" outlineLevel="4">
      <c r="A177" s="999"/>
      <c r="B177" s="999"/>
      <c r="C177" s="999"/>
      <c r="D177" s="1013">
        <f>+D176+1</f>
        <v>126</v>
      </c>
      <c r="E177" s="1014" t="s">
        <v>1881</v>
      </c>
      <c r="F177" s="988">
        <f>+'[11]7'!$P$355</f>
        <v>110833.48020000001</v>
      </c>
      <c r="G177" s="987">
        <f>+F177/$F$332</f>
        <v>2.2381251426242397E-2</v>
      </c>
      <c r="H177" s="1051">
        <v>2000</v>
      </c>
      <c r="I177" s="1051">
        <v>2000</v>
      </c>
      <c r="J177" s="1051">
        <v>2000</v>
      </c>
      <c r="K177" s="1051">
        <v>2000</v>
      </c>
      <c r="L177" s="1051">
        <v>2000</v>
      </c>
      <c r="M177" s="1051">
        <v>2000</v>
      </c>
      <c r="N177" s="1051">
        <v>2000</v>
      </c>
      <c r="O177" s="1051">
        <v>2000</v>
      </c>
      <c r="P177" s="1051">
        <v>2000</v>
      </c>
      <c r="Q177" s="1051">
        <v>2000</v>
      </c>
      <c r="R177" s="1051">
        <v>2000</v>
      </c>
      <c r="S177" s="1051">
        <v>2000</v>
      </c>
      <c r="T177" s="1051">
        <v>2000</v>
      </c>
      <c r="U177" s="705">
        <v>2000</v>
      </c>
      <c r="V177" s="705">
        <v>2200</v>
      </c>
      <c r="W177" s="705">
        <v>2000</v>
      </c>
      <c r="X177" s="705">
        <v>2000</v>
      </c>
      <c r="Y177" s="705">
        <v>2000</v>
      </c>
      <c r="Z177" s="705">
        <v>2000</v>
      </c>
      <c r="AA177" s="705">
        <v>2000</v>
      </c>
      <c r="AB177" s="705">
        <v>2000</v>
      </c>
      <c r="AC177" s="1069">
        <v>2000</v>
      </c>
      <c r="AD177" s="1069">
        <v>2250</v>
      </c>
      <c r="AE177" s="1069">
        <v>2650</v>
      </c>
      <c r="AF177" s="1069">
        <v>2650</v>
      </c>
      <c r="AG177" s="1068"/>
      <c r="AH177" s="1068">
        <f t="shared" si="16"/>
        <v>0</v>
      </c>
    </row>
    <row r="178" spans="1:35" s="1010" customFormat="1" outlineLevel="3">
      <c r="A178" s="999"/>
      <c r="B178" s="999"/>
      <c r="C178" s="1956" t="s">
        <v>1880</v>
      </c>
      <c r="D178" s="1956"/>
      <c r="E178" s="1956"/>
      <c r="F178" s="998">
        <f>SUM(F179)</f>
        <v>6764.3082000000013</v>
      </c>
      <c r="G178" s="997">
        <f>SUM(G179)</f>
        <v>1.3659562279881667E-3</v>
      </c>
      <c r="H178" s="1070"/>
      <c r="I178" s="1070"/>
      <c r="J178" s="1070"/>
      <c r="K178" s="1070"/>
      <c r="L178" s="1070"/>
      <c r="M178" s="1068"/>
      <c r="N178" s="1068"/>
      <c r="O178" s="1068"/>
      <c r="P178" s="1068"/>
      <c r="Q178" s="1068"/>
      <c r="R178" s="1068"/>
      <c r="S178" s="1068"/>
      <c r="T178" s="1068"/>
      <c r="U178" s="1073"/>
      <c r="V178" s="1073"/>
      <c r="W178" s="1073"/>
      <c r="X178" s="1073"/>
      <c r="Y178" s="1073"/>
      <c r="Z178" s="1073"/>
      <c r="AA178" s="1073"/>
      <c r="AB178" s="1073"/>
      <c r="AC178" s="1069"/>
      <c r="AD178" s="1069"/>
      <c r="AE178" s="1069"/>
      <c r="AF178" s="1069"/>
      <c r="AG178" s="1068"/>
      <c r="AH178" s="1068">
        <f t="shared" si="16"/>
        <v>0</v>
      </c>
    </row>
    <row r="179" spans="1:35" outlineLevel="4">
      <c r="A179" s="999"/>
      <c r="B179" s="999"/>
      <c r="C179" s="999"/>
      <c r="D179" s="1015">
        <f>+D177+1</f>
        <v>127</v>
      </c>
      <c r="E179" s="1014" t="s">
        <v>1879</v>
      </c>
      <c r="F179" s="988">
        <f>+'[11]7'!$P$341</f>
        <v>6764.3082000000013</v>
      </c>
      <c r="G179" s="987">
        <f>+F179/$F$332</f>
        <v>1.3659562279881667E-3</v>
      </c>
      <c r="H179" s="1070">
        <v>1500</v>
      </c>
      <c r="I179" s="1070">
        <v>1500</v>
      </c>
      <c r="J179" s="1070">
        <v>1500</v>
      </c>
      <c r="K179" s="1070">
        <v>1500</v>
      </c>
      <c r="L179" s="1070">
        <v>1500</v>
      </c>
      <c r="M179" s="1068">
        <v>1500</v>
      </c>
      <c r="N179" s="1068">
        <v>1500</v>
      </c>
      <c r="O179" s="1068">
        <v>1500</v>
      </c>
      <c r="P179" s="1068">
        <v>1500</v>
      </c>
      <c r="Q179" s="1068">
        <v>1500</v>
      </c>
      <c r="R179" s="1068">
        <v>1500</v>
      </c>
      <c r="S179" s="1068">
        <v>1500</v>
      </c>
      <c r="T179" s="1068">
        <v>1500</v>
      </c>
      <c r="U179" s="705">
        <v>1500</v>
      </c>
      <c r="V179" s="705">
        <v>1800</v>
      </c>
      <c r="W179" s="705">
        <v>1800</v>
      </c>
      <c r="X179" s="705">
        <v>2000</v>
      </c>
      <c r="Y179" s="705">
        <v>2000</v>
      </c>
      <c r="Z179" s="705">
        <v>2000</v>
      </c>
      <c r="AA179" s="705">
        <v>2000</v>
      </c>
      <c r="AB179" s="705">
        <v>2000</v>
      </c>
      <c r="AC179" s="1069">
        <v>2000</v>
      </c>
      <c r="AD179" s="1069">
        <v>2000</v>
      </c>
      <c r="AE179" s="1069">
        <v>2000</v>
      </c>
      <c r="AF179" s="1069">
        <v>2000</v>
      </c>
      <c r="AG179" s="1068"/>
      <c r="AH179" s="1068">
        <f t="shared" si="16"/>
        <v>0</v>
      </c>
    </row>
    <row r="180" spans="1:35" ht="14.25" customHeight="1" outlineLevel="1">
      <c r="A180" s="1954" t="s">
        <v>1878</v>
      </c>
      <c r="B180" s="1954"/>
      <c r="C180" s="1954"/>
      <c r="D180" s="1954"/>
      <c r="E180" s="1954"/>
      <c r="F180" s="1023">
        <f>+F181+F190+F196+F202+F208+F213</f>
        <v>312021.21540500002</v>
      </c>
      <c r="G180" s="1022">
        <f>+G181+G190+G196+G202+G208+G213</f>
        <v>6.3008264828456076E-2</v>
      </c>
      <c r="H180" s="1051"/>
      <c r="I180" s="1051"/>
      <c r="J180" s="1051"/>
      <c r="K180" s="1051"/>
      <c r="L180" s="1051"/>
      <c r="M180" s="1068"/>
      <c r="N180" s="1068"/>
      <c r="O180" s="1068"/>
      <c r="P180" s="1068"/>
      <c r="Q180" s="1068"/>
      <c r="R180" s="1068"/>
      <c r="S180" s="1068"/>
      <c r="T180" s="1068"/>
      <c r="U180" s="705"/>
      <c r="V180" s="705"/>
      <c r="W180" s="705"/>
      <c r="X180" s="705"/>
      <c r="Y180" s="705"/>
      <c r="Z180" s="705"/>
      <c r="AA180" s="705"/>
      <c r="AB180" s="705"/>
      <c r="AC180" s="1069"/>
      <c r="AD180" s="1069"/>
      <c r="AE180" s="1069"/>
      <c r="AF180" s="1069"/>
      <c r="AG180" s="1068"/>
      <c r="AH180" s="1068">
        <f t="shared" si="16"/>
        <v>0</v>
      </c>
    </row>
    <row r="181" spans="1:35" ht="14.25" customHeight="1" outlineLevel="2">
      <c r="A181" s="999"/>
      <c r="B181" s="1958" t="s">
        <v>1877</v>
      </c>
      <c r="C181" s="1958"/>
      <c r="D181" s="1958"/>
      <c r="E181" s="1958"/>
      <c r="F181" s="1020">
        <f>+F182+F187</f>
        <v>102829.52834399999</v>
      </c>
      <c r="G181" s="1019">
        <f>+G182+G187</f>
        <v>2.0764966720849959E-2</v>
      </c>
      <c r="H181" s="1070"/>
      <c r="I181" s="1070"/>
      <c r="J181" s="1070"/>
      <c r="K181" s="1070"/>
      <c r="L181" s="1070"/>
      <c r="M181" s="1068"/>
      <c r="N181" s="1068"/>
      <c r="O181" s="1068"/>
      <c r="P181" s="1068"/>
      <c r="Q181" s="1068"/>
      <c r="R181" s="1068"/>
      <c r="S181" s="1068"/>
      <c r="T181" s="1068"/>
      <c r="U181" s="705"/>
      <c r="V181" s="705"/>
      <c r="W181" s="705"/>
      <c r="X181" s="705"/>
      <c r="Y181" s="705"/>
      <c r="Z181" s="705"/>
      <c r="AA181" s="705"/>
      <c r="AB181" s="705"/>
      <c r="AC181" s="1069"/>
      <c r="AD181" s="1069"/>
      <c r="AE181" s="1069"/>
      <c r="AF181" s="1069"/>
      <c r="AG181" s="1068"/>
      <c r="AH181" s="1068">
        <f t="shared" si="16"/>
        <v>0</v>
      </c>
    </row>
    <row r="182" spans="1:35" s="1010" customFormat="1" outlineLevel="3">
      <c r="A182" s="999"/>
      <c r="B182" s="999"/>
      <c r="C182" s="1956" t="s">
        <v>1876</v>
      </c>
      <c r="D182" s="1956"/>
      <c r="E182" s="1956"/>
      <c r="F182" s="998">
        <f>SUM(F183:F186)</f>
        <v>40862.603453999996</v>
      </c>
      <c r="G182" s="997">
        <f>SUM(G183:G186)</f>
        <v>8.2516239694403713E-3</v>
      </c>
      <c r="H182" s="1051"/>
      <c r="I182" s="1051"/>
      <c r="J182" s="1070"/>
      <c r="K182" s="1051"/>
      <c r="L182" s="1070"/>
      <c r="M182" s="1068"/>
      <c r="N182" s="1068"/>
      <c r="O182" s="1068"/>
      <c r="P182" s="1068"/>
      <c r="Q182" s="1068"/>
      <c r="R182" s="1068"/>
      <c r="S182" s="1068"/>
      <c r="T182" s="1068"/>
      <c r="U182" s="1073"/>
      <c r="V182" s="1073"/>
      <c r="W182" s="1073"/>
      <c r="X182" s="1073"/>
      <c r="Y182" s="1073"/>
      <c r="Z182" s="1073"/>
      <c r="AA182" s="1073"/>
      <c r="AB182" s="1073"/>
      <c r="AC182" s="1069"/>
      <c r="AD182" s="1069"/>
      <c r="AE182" s="1069"/>
      <c r="AF182" s="1069"/>
      <c r="AG182" s="1068"/>
      <c r="AH182" s="1068">
        <f t="shared" si="16"/>
        <v>0</v>
      </c>
    </row>
    <row r="183" spans="1:35" s="1010" customFormat="1" outlineLevel="4">
      <c r="A183" s="999"/>
      <c r="B183" s="999"/>
      <c r="C183" s="999"/>
      <c r="D183" s="1015">
        <f>+D179+1</f>
        <v>128</v>
      </c>
      <c r="E183" s="1014" t="s">
        <v>1875</v>
      </c>
      <c r="F183" s="988">
        <f>+'[11]7'!$P$93+'[11]7'!$P$95+'[11]7'!$P$98+'[11]7'!$P$104+'[11]7'!$P$106</f>
        <v>22591.166944999997</v>
      </c>
      <c r="G183" s="987">
        <f>+F183/$F$332</f>
        <v>4.5619661720977091E-3</v>
      </c>
      <c r="H183" s="1051">
        <v>82500</v>
      </c>
      <c r="I183" s="1051">
        <v>87500</v>
      </c>
      <c r="J183" s="1051">
        <v>82500</v>
      </c>
      <c r="K183" s="1051">
        <v>82500</v>
      </c>
      <c r="L183" s="1051">
        <v>90000</v>
      </c>
      <c r="M183" s="1068">
        <v>90000</v>
      </c>
      <c r="N183" s="1068">
        <v>90000</v>
      </c>
      <c r="O183" s="1068">
        <v>90000</v>
      </c>
      <c r="P183" s="1068">
        <v>90000</v>
      </c>
      <c r="Q183" s="1068">
        <v>90000</v>
      </c>
      <c r="R183" s="1068">
        <v>90000</v>
      </c>
      <c r="S183" s="1068">
        <v>90000</v>
      </c>
      <c r="T183" s="1068">
        <v>90000</v>
      </c>
      <c r="U183" s="1073">
        <v>90000</v>
      </c>
      <c r="V183" s="1073">
        <v>90000</v>
      </c>
      <c r="W183" s="1073">
        <v>90000</v>
      </c>
      <c r="X183" s="1073">
        <v>98000</v>
      </c>
      <c r="Y183" s="1073">
        <v>98000</v>
      </c>
      <c r="Z183" s="1073">
        <v>98000</v>
      </c>
      <c r="AA183" s="1073">
        <v>98000</v>
      </c>
      <c r="AB183" s="1073">
        <v>100000</v>
      </c>
      <c r="AC183" s="1069">
        <v>100000</v>
      </c>
      <c r="AD183" s="1069">
        <v>100000</v>
      </c>
      <c r="AE183" s="1069">
        <v>100000</v>
      </c>
      <c r="AF183" s="1069">
        <v>110000</v>
      </c>
      <c r="AG183" s="1068"/>
      <c r="AH183" s="1068">
        <f t="shared" si="16"/>
        <v>10000</v>
      </c>
      <c r="AI183" s="1067"/>
    </row>
    <row r="184" spans="1:35" s="1010" customFormat="1" outlineLevel="4">
      <c r="A184" s="999"/>
      <c r="B184" s="999"/>
      <c r="C184" s="999"/>
      <c r="D184" s="1015">
        <f>+D183+1</f>
        <v>129</v>
      </c>
      <c r="E184" s="1014" t="s">
        <v>1874</v>
      </c>
      <c r="F184" s="988">
        <f>+'[11]7'!$P$96+'[11]7'!$P$97+'[11]7'!$P$100+'[11]7'!$P$133+'[11]7'!$P$101+'[11]7'!$P$102+'[11]7'!$P$105</f>
        <v>10988.015039</v>
      </c>
      <c r="G184" s="987">
        <f>+F184/$F$332</f>
        <v>2.2188739974547118E-3</v>
      </c>
      <c r="H184" s="1051">
        <v>135000</v>
      </c>
      <c r="I184" s="1051">
        <v>140000</v>
      </c>
      <c r="J184" s="1070">
        <v>135000</v>
      </c>
      <c r="K184" s="1051">
        <v>140000</v>
      </c>
      <c r="L184" s="1070">
        <v>140000</v>
      </c>
      <c r="M184" s="1068">
        <v>140000</v>
      </c>
      <c r="N184" s="1068">
        <v>140000</v>
      </c>
      <c r="O184" s="1068">
        <v>140000</v>
      </c>
      <c r="P184" s="1068">
        <v>140000</v>
      </c>
      <c r="Q184" s="1068">
        <v>150000</v>
      </c>
      <c r="R184" s="1068">
        <v>150000</v>
      </c>
      <c r="S184" s="1068">
        <v>150000</v>
      </c>
      <c r="T184" s="1068">
        <v>150000</v>
      </c>
      <c r="U184" s="1073">
        <v>150000</v>
      </c>
      <c r="V184" s="1073">
        <v>150000</v>
      </c>
      <c r="W184" s="1073">
        <v>150000</v>
      </c>
      <c r="X184" s="1073">
        <v>150000</v>
      </c>
      <c r="Y184" s="1073">
        <v>150000</v>
      </c>
      <c r="Z184" s="1073">
        <v>150000</v>
      </c>
      <c r="AA184" s="1073">
        <v>150000</v>
      </c>
      <c r="AB184" s="1073">
        <v>150000</v>
      </c>
      <c r="AC184" s="1069">
        <v>150000</v>
      </c>
      <c r="AD184" s="1069">
        <v>150000</v>
      </c>
      <c r="AE184" s="1069">
        <v>150000</v>
      </c>
      <c r="AF184" s="1069">
        <v>160000</v>
      </c>
      <c r="AG184" s="1068"/>
      <c r="AH184" s="1068">
        <f t="shared" si="16"/>
        <v>10000</v>
      </c>
      <c r="AI184" s="1067"/>
    </row>
    <row r="185" spans="1:35" s="1010" customFormat="1" outlineLevel="4">
      <c r="A185" s="999"/>
      <c r="B185" s="999"/>
      <c r="C185" s="999"/>
      <c r="D185" s="1015">
        <f>+D184+1</f>
        <v>130</v>
      </c>
      <c r="E185" s="1014" t="s">
        <v>1873</v>
      </c>
      <c r="F185" s="988">
        <f>+'[11]7'!$P$94</f>
        <v>2739.74</v>
      </c>
      <c r="G185" s="987">
        <f>+F185/$F$332</f>
        <v>5.5325168596964561E-4</v>
      </c>
      <c r="H185" s="1070">
        <v>165000</v>
      </c>
      <c r="I185" s="1070">
        <v>172500</v>
      </c>
      <c r="J185" s="1051">
        <v>172500</v>
      </c>
      <c r="K185" s="1070">
        <v>177500</v>
      </c>
      <c r="L185" s="1051">
        <v>182500</v>
      </c>
      <c r="M185" s="1068">
        <v>182500</v>
      </c>
      <c r="N185" s="1068">
        <v>182500</v>
      </c>
      <c r="O185" s="1068">
        <v>182500</v>
      </c>
      <c r="P185" s="1068">
        <v>182500</v>
      </c>
      <c r="Q185" s="1068">
        <v>182500</v>
      </c>
      <c r="R185" s="1068">
        <v>185000</v>
      </c>
      <c r="S185" s="1068">
        <v>185000</v>
      </c>
      <c r="T185" s="1068">
        <v>185000</v>
      </c>
      <c r="U185" s="1073">
        <v>190000</v>
      </c>
      <c r="V185" s="1073">
        <v>190000</v>
      </c>
      <c r="W185" s="1073">
        <v>200000</v>
      </c>
      <c r="X185" s="1073">
        <v>210000</v>
      </c>
      <c r="Y185" s="1073">
        <v>210000</v>
      </c>
      <c r="Z185" s="1073">
        <v>210000</v>
      </c>
      <c r="AA185" s="1073">
        <v>210000</v>
      </c>
      <c r="AB185" s="1073">
        <v>220000</v>
      </c>
      <c r="AC185" s="1069">
        <v>212000</v>
      </c>
      <c r="AD185" s="1069">
        <v>212000</v>
      </c>
      <c r="AE185" s="1069">
        <v>211666.66666666666</v>
      </c>
      <c r="AF185" s="1069">
        <v>205000</v>
      </c>
      <c r="AG185" s="1068"/>
      <c r="AH185" s="1068">
        <f t="shared" si="16"/>
        <v>-6666.666666666657</v>
      </c>
      <c r="AI185" s="1067"/>
    </row>
    <row r="186" spans="1:35" outlineLevel="4">
      <c r="A186" s="999"/>
      <c r="B186" s="999"/>
      <c r="C186" s="999"/>
      <c r="D186" s="1015">
        <f>+D185+1</f>
        <v>131</v>
      </c>
      <c r="E186" s="1026" t="s">
        <v>1872</v>
      </c>
      <c r="F186" s="988">
        <f>+'[11]7'!$P$99+'[11]7'!$P$107+'[11]7'!$P$108+'[11]7'!$P$114</f>
        <v>4543.6814699999995</v>
      </c>
      <c r="G186" s="987">
        <f>+F186/$F$332</f>
        <v>9.1753211391830533E-4</v>
      </c>
      <c r="H186" s="1070">
        <v>6000</v>
      </c>
      <c r="I186" s="1070">
        <v>6250</v>
      </c>
      <c r="J186" s="1051">
        <v>6000</v>
      </c>
      <c r="K186" s="1070">
        <v>6000</v>
      </c>
      <c r="L186" s="1051">
        <v>6750</v>
      </c>
      <c r="M186" s="1068">
        <v>6750</v>
      </c>
      <c r="N186" s="1068">
        <v>6750</v>
      </c>
      <c r="O186" s="1068">
        <v>6750</v>
      </c>
      <c r="P186" s="1068">
        <v>6750</v>
      </c>
      <c r="Q186" s="1068">
        <v>6750</v>
      </c>
      <c r="R186" s="1068">
        <v>6750</v>
      </c>
      <c r="S186" s="1068">
        <v>6750</v>
      </c>
      <c r="T186" s="1068">
        <v>6750</v>
      </c>
      <c r="U186" s="705">
        <v>7000</v>
      </c>
      <c r="V186" s="705">
        <v>8000</v>
      </c>
      <c r="W186" s="705">
        <v>8000</v>
      </c>
      <c r="X186" s="705">
        <v>8000</v>
      </c>
      <c r="Y186" s="705">
        <v>8000</v>
      </c>
      <c r="Z186" s="705">
        <v>8000</v>
      </c>
      <c r="AA186" s="705">
        <v>8000</v>
      </c>
      <c r="AB186" s="705">
        <v>8000</v>
      </c>
      <c r="AC186" s="1069">
        <v>8000</v>
      </c>
      <c r="AD186" s="1069">
        <v>8000</v>
      </c>
      <c r="AE186" s="1069">
        <v>8000</v>
      </c>
      <c r="AF186" s="1069">
        <v>8000</v>
      </c>
      <c r="AG186" s="1068"/>
      <c r="AH186" s="1068">
        <f t="shared" si="16"/>
        <v>0</v>
      </c>
      <c r="AI186" s="1067"/>
    </row>
    <row r="187" spans="1:35" s="1010" customFormat="1" outlineLevel="3">
      <c r="A187" s="999"/>
      <c r="B187" s="999"/>
      <c r="C187" s="1956" t="s">
        <v>1871</v>
      </c>
      <c r="D187" s="1956"/>
      <c r="E187" s="1956"/>
      <c r="F187" s="998">
        <f>SUM(F188:F189)</f>
        <v>61966.924889999995</v>
      </c>
      <c r="G187" s="997">
        <f>SUM(G188:G189)</f>
        <v>1.2513342751409586E-2</v>
      </c>
      <c r="H187" s="1070"/>
      <c r="I187" s="1070"/>
      <c r="J187" s="1051"/>
      <c r="K187" s="1070"/>
      <c r="L187" s="1051"/>
      <c r="M187" s="1068"/>
      <c r="N187" s="1068"/>
      <c r="O187" s="1068"/>
      <c r="P187" s="1068"/>
      <c r="Q187" s="1068"/>
      <c r="R187" s="1068"/>
      <c r="S187" s="1068"/>
      <c r="T187" s="1068"/>
      <c r="U187" s="1073"/>
      <c r="V187" s="1073"/>
      <c r="W187" s="1073"/>
      <c r="X187" s="1073"/>
      <c r="Y187" s="1073"/>
      <c r="Z187" s="1073"/>
      <c r="AA187" s="1073"/>
      <c r="AB187" s="1073"/>
      <c r="AC187" s="1069"/>
      <c r="AD187" s="1069"/>
      <c r="AE187" s="1069"/>
      <c r="AF187" s="1069"/>
      <c r="AG187" s="1068"/>
      <c r="AH187" s="1068">
        <f t="shared" si="16"/>
        <v>0</v>
      </c>
    </row>
    <row r="188" spans="1:35" s="1010" customFormat="1" outlineLevel="4">
      <c r="A188" s="999"/>
      <c r="B188" s="999"/>
      <c r="C188" s="999"/>
      <c r="D188" s="1017">
        <f>+D186+1</f>
        <v>132</v>
      </c>
      <c r="E188" s="1014" t="s">
        <v>1870</v>
      </c>
      <c r="F188" s="988">
        <f>+'[11]7'!$P$109+'[11]7'!$P$110+'[11]7'!$P$111+'[11]7'!$P$113</f>
        <v>22737.839190000002</v>
      </c>
      <c r="G188" s="987">
        <f>+F188/$F$332</f>
        <v>4.5915845544373494E-3</v>
      </c>
      <c r="H188" s="1070">
        <v>177500</v>
      </c>
      <c r="I188" s="1070">
        <v>177500</v>
      </c>
      <c r="J188" s="1070">
        <v>177500</v>
      </c>
      <c r="K188" s="1070">
        <v>177500</v>
      </c>
      <c r="L188" s="1070">
        <v>177500</v>
      </c>
      <c r="M188" s="1068">
        <v>177500</v>
      </c>
      <c r="N188" s="1068">
        <v>177500</v>
      </c>
      <c r="O188" s="1068">
        <v>177500</v>
      </c>
      <c r="P188" s="1068">
        <v>177500</v>
      </c>
      <c r="Q188" s="1068">
        <v>190000</v>
      </c>
      <c r="R188" s="1068">
        <v>210000</v>
      </c>
      <c r="S188" s="1068">
        <v>210000</v>
      </c>
      <c r="T188" s="1068">
        <v>215000</v>
      </c>
      <c r="U188" s="1073">
        <v>220000</v>
      </c>
      <c r="V188" s="1073">
        <v>230000</v>
      </c>
      <c r="W188" s="1073">
        <v>230000</v>
      </c>
      <c r="X188" s="1073">
        <v>235000</v>
      </c>
      <c r="Y188" s="1073">
        <v>240000</v>
      </c>
      <c r="Z188" s="1073">
        <v>240000</v>
      </c>
      <c r="AA188" s="1073">
        <v>240000</v>
      </c>
      <c r="AB188" s="1073">
        <v>240000</v>
      </c>
      <c r="AC188" s="1069">
        <v>245000</v>
      </c>
      <c r="AD188" s="1069">
        <v>245000</v>
      </c>
      <c r="AE188" s="1069">
        <v>245000</v>
      </c>
      <c r="AF188" s="1069">
        <v>245000</v>
      </c>
      <c r="AG188" s="1068"/>
      <c r="AH188" s="1068">
        <f t="shared" si="16"/>
        <v>0</v>
      </c>
      <c r="AI188" s="1067"/>
    </row>
    <row r="189" spans="1:35" outlineLevel="4">
      <c r="A189" s="999"/>
      <c r="B189" s="999"/>
      <c r="C189" s="999"/>
      <c r="D189" s="1015">
        <f>+D188+1</f>
        <v>133</v>
      </c>
      <c r="E189" s="1014" t="s">
        <v>1869</v>
      </c>
      <c r="F189" s="988">
        <f>+'[11]7'!$P$112</f>
        <v>39229.085699999996</v>
      </c>
      <c r="G189" s="987">
        <f>+F189/$F$332</f>
        <v>7.9217581969722364E-3</v>
      </c>
      <c r="H189" s="1051">
        <v>4500</v>
      </c>
      <c r="I189" s="1051">
        <v>4500</v>
      </c>
      <c r="J189" s="1051">
        <v>4500</v>
      </c>
      <c r="K189" s="1051">
        <v>4500</v>
      </c>
      <c r="L189" s="1051">
        <v>4500</v>
      </c>
      <c r="M189" s="1051">
        <v>4500</v>
      </c>
      <c r="N189" s="1051">
        <v>4500</v>
      </c>
      <c r="O189" s="1051">
        <v>4500</v>
      </c>
      <c r="P189" s="1051">
        <v>4500</v>
      </c>
      <c r="Q189" s="1051">
        <v>4500</v>
      </c>
      <c r="R189" s="1051">
        <v>4500</v>
      </c>
      <c r="S189" s="1051">
        <v>4500</v>
      </c>
      <c r="T189" s="1051">
        <v>4500</v>
      </c>
      <c r="U189" s="1051">
        <v>4500</v>
      </c>
      <c r="V189" s="705">
        <v>5000</v>
      </c>
      <c r="W189" s="705">
        <v>5000</v>
      </c>
      <c r="X189" s="705">
        <v>5500</v>
      </c>
      <c r="Y189" s="705">
        <v>5500</v>
      </c>
      <c r="Z189" s="705">
        <v>5500</v>
      </c>
      <c r="AA189" s="705">
        <v>5500</v>
      </c>
      <c r="AB189" s="705">
        <v>5500</v>
      </c>
      <c r="AC189" s="1069">
        <v>5500</v>
      </c>
      <c r="AD189" s="1069">
        <v>5500</v>
      </c>
      <c r="AE189" s="1069">
        <v>5500</v>
      </c>
      <c r="AF189" s="1069">
        <v>5500</v>
      </c>
      <c r="AG189" s="1068"/>
      <c r="AH189" s="1068">
        <f t="shared" si="16"/>
        <v>0</v>
      </c>
      <c r="AI189" s="1067"/>
    </row>
    <row r="190" spans="1:35" outlineLevel="2">
      <c r="A190" s="999"/>
      <c r="B190" s="1955" t="s">
        <v>1868</v>
      </c>
      <c r="C190" s="1955"/>
      <c r="D190" s="1955"/>
      <c r="E190" s="1955"/>
      <c r="F190" s="1020">
        <f>+F191</f>
        <v>39997.012336</v>
      </c>
      <c r="G190" s="1019">
        <f>+G191</f>
        <v>8.0768301038203327E-3</v>
      </c>
      <c r="H190" s="1070"/>
      <c r="I190" s="1070"/>
      <c r="J190" s="1070"/>
      <c r="K190" s="1070"/>
      <c r="L190" s="1070"/>
      <c r="M190" s="1068"/>
      <c r="N190" s="1068"/>
      <c r="O190" s="1068"/>
      <c r="P190" s="1068"/>
      <c r="Q190" s="1068"/>
      <c r="R190" s="1068"/>
      <c r="S190" s="1068"/>
      <c r="T190" s="1068"/>
      <c r="U190" s="705"/>
      <c r="V190" s="705"/>
      <c r="W190" s="705"/>
      <c r="X190" s="705"/>
      <c r="Y190" s="705"/>
      <c r="Z190" s="705"/>
      <c r="AA190" s="705"/>
      <c r="AB190" s="705"/>
      <c r="AC190" s="1069"/>
      <c r="AD190" s="1069"/>
      <c r="AE190" s="1069"/>
      <c r="AF190" s="1069"/>
      <c r="AG190" s="1068"/>
      <c r="AH190" s="1068">
        <f t="shared" si="16"/>
        <v>0</v>
      </c>
    </row>
    <row r="191" spans="1:35" s="1010" customFormat="1" outlineLevel="3">
      <c r="A191" s="999"/>
      <c r="B191" s="999"/>
      <c r="C191" s="1956" t="s">
        <v>1867</v>
      </c>
      <c r="D191" s="1956"/>
      <c r="E191" s="1956"/>
      <c r="F191" s="998">
        <f>SUM(F192:F195)</f>
        <v>39997.012336</v>
      </c>
      <c r="G191" s="997">
        <f>SUM(G192:G195)</f>
        <v>8.0768301038203327E-3</v>
      </c>
      <c r="H191" s="1070"/>
      <c r="I191" s="1070"/>
      <c r="J191" s="1070"/>
      <c r="K191" s="1070"/>
      <c r="L191" s="1070"/>
      <c r="M191" s="1068"/>
      <c r="N191" s="1068"/>
      <c r="O191" s="1068"/>
      <c r="P191" s="1068"/>
      <c r="Q191" s="1068"/>
      <c r="R191" s="1068"/>
      <c r="S191" s="1068"/>
      <c r="T191" s="1068"/>
      <c r="U191" s="1073"/>
      <c r="V191" s="1073"/>
      <c r="W191" s="1073"/>
      <c r="X191" s="1073"/>
      <c r="Y191" s="1073"/>
      <c r="Z191" s="1073"/>
      <c r="AA191" s="1073"/>
      <c r="AB191" s="1073"/>
      <c r="AC191" s="1069"/>
      <c r="AD191" s="1069"/>
      <c r="AE191" s="1069"/>
      <c r="AF191" s="1069"/>
      <c r="AG191" s="1068"/>
      <c r="AH191" s="1068">
        <f t="shared" si="16"/>
        <v>0</v>
      </c>
    </row>
    <row r="192" spans="1:35" s="1010" customFormat="1" outlineLevel="4">
      <c r="A192" s="999"/>
      <c r="B192" s="999"/>
      <c r="C192" s="999"/>
      <c r="D192" s="1015">
        <f>+D189+1</f>
        <v>134</v>
      </c>
      <c r="E192" s="1014" t="s">
        <v>1866</v>
      </c>
      <c r="F192" s="988">
        <f>+'[11]7'!$P$117+'[11]7'!$P$115</f>
        <v>7759.6304</v>
      </c>
      <c r="G192" s="987">
        <f>+F192/$F$332</f>
        <v>1.5669474480429955E-3</v>
      </c>
      <c r="H192" s="1051">
        <v>12000</v>
      </c>
      <c r="I192" s="1051">
        <v>12000</v>
      </c>
      <c r="J192" s="1051">
        <v>12000</v>
      </c>
      <c r="K192" s="1051">
        <v>12000</v>
      </c>
      <c r="L192" s="1051">
        <v>12000</v>
      </c>
      <c r="M192" s="1068">
        <v>12000</v>
      </c>
      <c r="N192" s="1068">
        <v>12000</v>
      </c>
      <c r="O192" s="1068">
        <v>12000</v>
      </c>
      <c r="P192" s="1068">
        <v>12000</v>
      </c>
      <c r="Q192" s="1068">
        <v>12000</v>
      </c>
      <c r="R192" s="1068">
        <v>12000</v>
      </c>
      <c r="S192" s="1068">
        <v>12000</v>
      </c>
      <c r="T192" s="1068">
        <v>12000</v>
      </c>
      <c r="U192" s="1073">
        <v>12000</v>
      </c>
      <c r="V192" s="1073">
        <v>12000</v>
      </c>
      <c r="W192" s="1073">
        <v>13000</v>
      </c>
      <c r="X192" s="1073">
        <v>13000</v>
      </c>
      <c r="Y192" s="1073">
        <v>13000</v>
      </c>
      <c r="Z192" s="1073">
        <v>13000</v>
      </c>
      <c r="AA192" s="1073">
        <v>13000</v>
      </c>
      <c r="AB192" s="1073">
        <v>13000</v>
      </c>
      <c r="AC192" s="1069">
        <v>13000</v>
      </c>
      <c r="AD192" s="1069">
        <v>13000</v>
      </c>
      <c r="AE192" s="1069">
        <v>12500</v>
      </c>
      <c r="AF192" s="1069">
        <v>12500</v>
      </c>
      <c r="AG192" s="1068"/>
      <c r="AH192" s="1068">
        <f t="shared" si="16"/>
        <v>0</v>
      </c>
      <c r="AI192" s="1067"/>
    </row>
    <row r="193" spans="1:35" s="1010" customFormat="1" outlineLevel="4">
      <c r="A193" s="999"/>
      <c r="B193" s="999"/>
      <c r="C193" s="999"/>
      <c r="D193" s="1015">
        <f>+D192+1</f>
        <v>135</v>
      </c>
      <c r="E193" s="1014" t="s">
        <v>1865</v>
      </c>
      <c r="F193" s="988">
        <f>+'[11]7'!$P$103+'[11]7'!$P$120+'[11]7'!$P$121+'[11]7'!$P$122</f>
        <v>6147.7378179999996</v>
      </c>
      <c r="G193" s="987">
        <f>+F193/$F$332</f>
        <v>1.2414485727506445E-3</v>
      </c>
      <c r="H193" s="1051">
        <v>31000</v>
      </c>
      <c r="I193" s="1051">
        <v>31000</v>
      </c>
      <c r="J193" s="1070">
        <v>31000</v>
      </c>
      <c r="K193" s="1051">
        <v>31000</v>
      </c>
      <c r="L193" s="1070">
        <v>31000</v>
      </c>
      <c r="M193" s="1068">
        <v>31000</v>
      </c>
      <c r="N193" s="1068">
        <v>31000</v>
      </c>
      <c r="O193" s="1068">
        <v>31000</v>
      </c>
      <c r="P193" s="1068">
        <v>31000</v>
      </c>
      <c r="Q193" s="1068">
        <v>31000</v>
      </c>
      <c r="R193" s="1068">
        <v>31000</v>
      </c>
      <c r="S193" s="1068">
        <v>31000</v>
      </c>
      <c r="T193" s="1068">
        <v>31000</v>
      </c>
      <c r="U193" s="1073">
        <v>32000</v>
      </c>
      <c r="V193" s="1073">
        <v>32000</v>
      </c>
      <c r="W193" s="1073">
        <v>32000</v>
      </c>
      <c r="X193" s="1073">
        <v>32000</v>
      </c>
      <c r="Y193" s="1073">
        <v>32000</v>
      </c>
      <c r="Z193" s="1073">
        <v>32000</v>
      </c>
      <c r="AA193" s="1073">
        <v>32000</v>
      </c>
      <c r="AB193" s="1073">
        <v>32000</v>
      </c>
      <c r="AC193" s="1069">
        <v>32000</v>
      </c>
      <c r="AD193" s="1069">
        <v>33000</v>
      </c>
      <c r="AE193" s="1069">
        <v>37500</v>
      </c>
      <c r="AF193" s="1069">
        <v>37500</v>
      </c>
      <c r="AG193" s="1068"/>
      <c r="AH193" s="1068">
        <f t="shared" si="16"/>
        <v>0</v>
      </c>
      <c r="AI193" s="1067"/>
    </row>
    <row r="194" spans="1:35" s="1010" customFormat="1" outlineLevel="4">
      <c r="A194" s="999"/>
      <c r="B194" s="999"/>
      <c r="C194" s="999"/>
      <c r="D194" s="1015">
        <f>+D193+1</f>
        <v>136</v>
      </c>
      <c r="E194" s="1014" t="s">
        <v>1864</v>
      </c>
      <c r="F194" s="988">
        <f>+'[11]7'!$P$116</f>
        <v>14277.430000000002</v>
      </c>
      <c r="G194" s="987">
        <f>+F194/$F$332</f>
        <v>2.8831247559307086E-3</v>
      </c>
      <c r="H194" s="1070">
        <v>18500</v>
      </c>
      <c r="I194" s="1070">
        <v>18500</v>
      </c>
      <c r="J194" s="1070">
        <v>18500</v>
      </c>
      <c r="K194" s="1070">
        <v>18500</v>
      </c>
      <c r="L194" s="1070">
        <v>21000</v>
      </c>
      <c r="M194" s="1068">
        <v>21000</v>
      </c>
      <c r="N194" s="1068">
        <v>21000</v>
      </c>
      <c r="O194" s="1068">
        <v>21000</v>
      </c>
      <c r="P194" s="1068">
        <v>21000</v>
      </c>
      <c r="Q194" s="1068">
        <v>21000</v>
      </c>
      <c r="R194" s="1068">
        <v>21000</v>
      </c>
      <c r="S194" s="1068">
        <v>21000</v>
      </c>
      <c r="T194" s="1068">
        <v>23000</v>
      </c>
      <c r="U194" s="1073">
        <v>23000</v>
      </c>
      <c r="V194" s="1073">
        <v>25000</v>
      </c>
      <c r="W194" s="1073">
        <v>25000</v>
      </c>
      <c r="X194" s="1073">
        <v>26000</v>
      </c>
      <c r="Y194" s="1073">
        <v>26000</v>
      </c>
      <c r="Z194" s="1073">
        <v>28000</v>
      </c>
      <c r="AA194" s="1073">
        <v>28000</v>
      </c>
      <c r="AB194" s="1073">
        <v>28000</v>
      </c>
      <c r="AC194" s="1069">
        <v>28000</v>
      </c>
      <c r="AD194" s="1069">
        <v>28000</v>
      </c>
      <c r="AE194" s="1069">
        <v>28000</v>
      </c>
      <c r="AF194" s="1069">
        <v>28000</v>
      </c>
      <c r="AG194" s="1068"/>
      <c r="AH194" s="1068">
        <f t="shared" si="16"/>
        <v>0</v>
      </c>
      <c r="AI194" s="1067"/>
    </row>
    <row r="195" spans="1:35" outlineLevel="4">
      <c r="A195" s="999"/>
      <c r="B195" s="999"/>
      <c r="C195" s="999"/>
      <c r="D195" s="1015">
        <f>+D194+1</f>
        <v>137</v>
      </c>
      <c r="E195" s="1014" t="s">
        <v>1863</v>
      </c>
      <c r="F195" s="988">
        <f>+'[11]7'!$P$118+'[11]7'!$P$119+'[11]7'!$P$104</f>
        <v>11812.214118</v>
      </c>
      <c r="G195" s="987">
        <f>+F195/$F$332</f>
        <v>2.3853093270959839E-3</v>
      </c>
      <c r="H195" s="1070">
        <v>2500</v>
      </c>
      <c r="I195" s="1070">
        <v>2500</v>
      </c>
      <c r="J195" s="1051">
        <v>2500</v>
      </c>
      <c r="K195" s="1070">
        <v>2500</v>
      </c>
      <c r="L195" s="1051">
        <v>2400</v>
      </c>
      <c r="M195" s="1068">
        <v>2400</v>
      </c>
      <c r="N195" s="1068">
        <v>2400</v>
      </c>
      <c r="O195" s="1068">
        <v>2400</v>
      </c>
      <c r="P195" s="1068">
        <v>2450</v>
      </c>
      <c r="Q195" s="1068">
        <v>2450</v>
      </c>
      <c r="R195" s="1068">
        <v>2450</v>
      </c>
      <c r="S195" s="1068">
        <v>2450</v>
      </c>
      <c r="T195" s="1068">
        <v>2450</v>
      </c>
      <c r="U195" s="705">
        <v>2500</v>
      </c>
      <c r="V195" s="705">
        <v>2500</v>
      </c>
      <c r="W195" s="705">
        <v>2500</v>
      </c>
      <c r="X195" s="705">
        <v>2500</v>
      </c>
      <c r="Y195" s="705">
        <v>2500</v>
      </c>
      <c r="Z195" s="705">
        <v>2500</v>
      </c>
      <c r="AA195" s="705">
        <v>2500</v>
      </c>
      <c r="AB195" s="705">
        <v>2500</v>
      </c>
      <c r="AC195" s="1069">
        <v>2500</v>
      </c>
      <c r="AD195" s="1069">
        <v>2500</v>
      </c>
      <c r="AE195" s="1069">
        <v>2650</v>
      </c>
      <c r="AF195" s="1069">
        <v>2650</v>
      </c>
      <c r="AG195" s="1068"/>
      <c r="AH195" s="1068">
        <f t="shared" si="16"/>
        <v>0</v>
      </c>
      <c r="AI195" s="1067"/>
    </row>
    <row r="196" spans="1:35" ht="14.25" customHeight="1" outlineLevel="2">
      <c r="A196" s="999"/>
      <c r="B196" s="1955" t="s">
        <v>1862</v>
      </c>
      <c r="C196" s="1955"/>
      <c r="D196" s="1955"/>
      <c r="E196" s="1955"/>
      <c r="F196" s="1020">
        <f>+F197</f>
        <v>33592.94601</v>
      </c>
      <c r="G196" s="1019">
        <f>+G197</f>
        <v>6.7836196196426612E-3</v>
      </c>
      <c r="H196" s="1070"/>
      <c r="I196" s="1070"/>
      <c r="J196" s="1051"/>
      <c r="K196" s="1070"/>
      <c r="L196" s="1051"/>
      <c r="M196" s="1068"/>
      <c r="N196" s="1068"/>
      <c r="O196" s="1068"/>
      <c r="P196" s="1068"/>
      <c r="Q196" s="1068"/>
      <c r="R196" s="1068"/>
      <c r="S196" s="1068"/>
      <c r="T196" s="1068"/>
      <c r="U196" s="705"/>
      <c r="V196" s="705"/>
      <c r="W196" s="705"/>
      <c r="X196" s="705"/>
      <c r="Y196" s="705"/>
      <c r="Z196" s="705"/>
      <c r="AA196" s="705"/>
      <c r="AB196" s="705"/>
      <c r="AC196" s="1069"/>
      <c r="AD196" s="1069"/>
      <c r="AE196" s="1069"/>
      <c r="AF196" s="1069"/>
      <c r="AG196" s="1068"/>
      <c r="AH196" s="1068">
        <f t="shared" si="16"/>
        <v>0</v>
      </c>
    </row>
    <row r="197" spans="1:35" s="1010" customFormat="1" ht="14.25" customHeight="1" outlineLevel="3">
      <c r="A197" s="999"/>
      <c r="B197" s="999"/>
      <c r="C197" s="1957" t="s">
        <v>1861</v>
      </c>
      <c r="D197" s="1957"/>
      <c r="E197" s="1957"/>
      <c r="F197" s="998">
        <f>SUM(F198:F201)</f>
        <v>33592.94601</v>
      </c>
      <c r="G197" s="997">
        <f>SUM(G198:G201)</f>
        <v>6.7836196196426612E-3</v>
      </c>
      <c r="H197" s="1070"/>
      <c r="I197" s="1070"/>
      <c r="J197" s="1070"/>
      <c r="K197" s="1070"/>
      <c r="L197" s="1070"/>
      <c r="M197" s="1068"/>
      <c r="N197" s="1068"/>
      <c r="O197" s="1068"/>
      <c r="P197" s="1068"/>
      <c r="Q197" s="1068"/>
      <c r="R197" s="1068"/>
      <c r="S197" s="1068"/>
      <c r="T197" s="1068"/>
      <c r="U197" s="1073"/>
      <c r="V197" s="1073"/>
      <c r="W197" s="1073"/>
      <c r="X197" s="1073"/>
      <c r="Y197" s="1073"/>
      <c r="Z197" s="1073"/>
      <c r="AA197" s="1073"/>
      <c r="AB197" s="1073"/>
      <c r="AC197" s="1069"/>
      <c r="AD197" s="1069"/>
      <c r="AE197" s="1069"/>
      <c r="AF197" s="1069"/>
      <c r="AG197" s="1068"/>
      <c r="AH197" s="1068">
        <f t="shared" si="16"/>
        <v>0</v>
      </c>
    </row>
    <row r="198" spans="1:35" s="1010" customFormat="1" outlineLevel="4">
      <c r="A198" s="999"/>
      <c r="B198" s="999"/>
      <c r="C198" s="999"/>
      <c r="D198" s="1017">
        <f>+D195+1</f>
        <v>138</v>
      </c>
      <c r="E198" s="1014" t="s">
        <v>1860</v>
      </c>
      <c r="F198" s="988">
        <f>+'[11]7'!$P$123</f>
        <v>15645.504500000001</v>
      </c>
      <c r="G198" s="987">
        <f>+F198/$F$332</f>
        <v>3.1593880231228799E-3</v>
      </c>
      <c r="H198" s="1051">
        <v>435000</v>
      </c>
      <c r="I198" s="1051">
        <v>435000</v>
      </c>
      <c r="J198" s="1070">
        <v>435000</v>
      </c>
      <c r="K198" s="1051">
        <v>435000</v>
      </c>
      <c r="L198" s="1070">
        <v>435000</v>
      </c>
      <c r="M198" s="1068">
        <v>435000</v>
      </c>
      <c r="N198" s="1068">
        <v>435000</v>
      </c>
      <c r="O198" s="1068">
        <v>445000</v>
      </c>
      <c r="P198" s="1068">
        <v>445000</v>
      </c>
      <c r="Q198" s="1068">
        <v>445000</v>
      </c>
      <c r="R198" s="1068">
        <v>445000</v>
      </c>
      <c r="S198" s="1068">
        <v>445000</v>
      </c>
      <c r="T198" s="1068">
        <v>445000</v>
      </c>
      <c r="U198" s="1073">
        <v>450000</v>
      </c>
      <c r="V198" s="1073">
        <v>500000</v>
      </c>
      <c r="W198" s="1073">
        <v>500000</v>
      </c>
      <c r="X198" s="1073">
        <v>530000</v>
      </c>
      <c r="Y198" s="1073">
        <v>530000</v>
      </c>
      <c r="Z198" s="1073">
        <v>550000</v>
      </c>
      <c r="AA198" s="1073">
        <v>550000</v>
      </c>
      <c r="AB198" s="1073">
        <v>550000</v>
      </c>
      <c r="AC198" s="1069">
        <v>550000</v>
      </c>
      <c r="AD198" s="1069">
        <v>550000</v>
      </c>
      <c r="AE198" s="1069">
        <v>546666.66666666663</v>
      </c>
      <c r="AF198" s="1069">
        <v>546666.66666666663</v>
      </c>
      <c r="AG198" s="1068"/>
      <c r="AH198" s="1068">
        <f t="shared" si="16"/>
        <v>0</v>
      </c>
      <c r="AI198" s="1067"/>
    </row>
    <row r="199" spans="1:35" s="1010" customFormat="1" outlineLevel="4">
      <c r="A199" s="999"/>
      <c r="B199" s="999"/>
      <c r="C199" s="999"/>
      <c r="D199" s="1017">
        <f>+D198+1</f>
        <v>139</v>
      </c>
      <c r="E199" s="1014" t="s">
        <v>1859</v>
      </c>
      <c r="F199" s="988">
        <f>+'[11]7'!$P$125+'[11]7'!$P$124</f>
        <v>7304.8145999999997</v>
      </c>
      <c r="G199" s="987">
        <f>+F199/$F$332</f>
        <v>1.4751038394685929E-3</v>
      </c>
      <c r="H199" s="1051">
        <v>240000</v>
      </c>
      <c r="I199" s="1051">
        <v>240000</v>
      </c>
      <c r="J199" s="1070">
        <v>240000</v>
      </c>
      <c r="K199" s="1051">
        <v>240000</v>
      </c>
      <c r="L199" s="1070">
        <v>245000</v>
      </c>
      <c r="M199" s="1068">
        <v>245000</v>
      </c>
      <c r="N199" s="1068">
        <v>245000</v>
      </c>
      <c r="O199" s="1068">
        <v>245000</v>
      </c>
      <c r="P199" s="1068">
        <v>265000</v>
      </c>
      <c r="Q199" s="1068">
        <v>265000</v>
      </c>
      <c r="R199" s="1068">
        <v>265000</v>
      </c>
      <c r="S199" s="1068">
        <v>265000</v>
      </c>
      <c r="T199" s="1068">
        <v>265000</v>
      </c>
      <c r="U199" s="1073">
        <v>260000</v>
      </c>
      <c r="V199" s="1073">
        <v>260000</v>
      </c>
      <c r="W199" s="1073">
        <v>280000</v>
      </c>
      <c r="X199" s="1073">
        <v>280000</v>
      </c>
      <c r="Y199" s="1073">
        <v>280000</v>
      </c>
      <c r="Z199" s="1073">
        <v>280000</v>
      </c>
      <c r="AA199" s="1073">
        <v>280000</v>
      </c>
      <c r="AB199" s="1073">
        <v>280000</v>
      </c>
      <c r="AC199" s="1069">
        <v>280000</v>
      </c>
      <c r="AD199" s="1069">
        <v>280000</v>
      </c>
      <c r="AE199" s="1069">
        <v>280000</v>
      </c>
      <c r="AF199" s="1069">
        <v>280000</v>
      </c>
      <c r="AG199" s="1068"/>
      <c r="AH199" s="1068">
        <f t="shared" si="16"/>
        <v>0</v>
      </c>
      <c r="AI199" s="1067"/>
    </row>
    <row r="200" spans="1:35" s="1010" customFormat="1" outlineLevel="4">
      <c r="A200" s="999"/>
      <c r="B200" s="999"/>
      <c r="C200" s="999"/>
      <c r="D200" s="1017">
        <f>+D199+1</f>
        <v>140</v>
      </c>
      <c r="E200" s="1014" t="s">
        <v>1858</v>
      </c>
      <c r="F200" s="988">
        <f>+'[11]7'!$P$131+'[11]7'!$P$126+'[11]7'!$P$174</f>
        <v>1300.7523299999998</v>
      </c>
      <c r="G200" s="987">
        <f>+F200/$F$332</f>
        <v>2.6266850854513377E-4</v>
      </c>
      <c r="H200" s="1070">
        <v>21500</v>
      </c>
      <c r="I200" s="1070">
        <v>21500</v>
      </c>
      <c r="J200" s="1070">
        <v>21500</v>
      </c>
      <c r="K200" s="1070">
        <v>21500</v>
      </c>
      <c r="L200" s="1070">
        <v>21500</v>
      </c>
      <c r="M200" s="1068">
        <v>21500</v>
      </c>
      <c r="N200" s="1068">
        <v>21500</v>
      </c>
      <c r="O200" s="1068">
        <v>21500</v>
      </c>
      <c r="P200" s="1068">
        <v>21500</v>
      </c>
      <c r="Q200" s="1068">
        <v>21500</v>
      </c>
      <c r="R200" s="1068">
        <v>21500</v>
      </c>
      <c r="S200" s="1068">
        <v>21500</v>
      </c>
      <c r="T200" s="1068">
        <v>21500</v>
      </c>
      <c r="U200" s="1073">
        <v>22000</v>
      </c>
      <c r="V200" s="1073">
        <v>22000</v>
      </c>
      <c r="W200" s="1073">
        <v>25000</v>
      </c>
      <c r="X200" s="1073">
        <v>25000</v>
      </c>
      <c r="Y200" s="1073">
        <v>25000</v>
      </c>
      <c r="Z200" s="1073">
        <v>25500</v>
      </c>
      <c r="AA200" s="1073">
        <v>25500</v>
      </c>
      <c r="AB200" s="1073">
        <v>26000</v>
      </c>
      <c r="AC200" s="1069">
        <v>26000</v>
      </c>
      <c r="AD200" s="1069">
        <v>28000</v>
      </c>
      <c r="AE200" s="1069">
        <v>27333.333333333332</v>
      </c>
      <c r="AF200" s="1069">
        <v>27333.333333333332</v>
      </c>
      <c r="AG200" s="1068"/>
      <c r="AH200" s="1068">
        <f t="shared" ref="AH200:AH263" si="18">+AF200-AE200</f>
        <v>0</v>
      </c>
      <c r="AI200" s="1067"/>
    </row>
    <row r="201" spans="1:35" outlineLevel="4">
      <c r="A201" s="999"/>
      <c r="B201" s="999"/>
      <c r="C201" s="999"/>
      <c r="D201" s="1017">
        <f>+D200+1</f>
        <v>141</v>
      </c>
      <c r="E201" s="1012" t="s">
        <v>1857</v>
      </c>
      <c r="F201" s="988">
        <f>+'[11]7'!$P$127+'[11]7'!$P$128+'[11]7'!$P$129+'[11]7'!$P$132+'[11]7'!$P$130+'[11]7'!$P$134+'[11]7'!$P$135</f>
        <v>9341.8745800000015</v>
      </c>
      <c r="G201" s="987">
        <f>+F201/$F$332</f>
        <v>1.8864592485060541E-3</v>
      </c>
      <c r="H201" s="1070">
        <v>75000</v>
      </c>
      <c r="I201" s="1070">
        <v>75000</v>
      </c>
      <c r="J201" s="1051">
        <v>75000</v>
      </c>
      <c r="K201" s="1070">
        <v>75000</v>
      </c>
      <c r="L201" s="1051">
        <v>75000</v>
      </c>
      <c r="M201" s="1068">
        <v>75000</v>
      </c>
      <c r="N201" s="1068">
        <v>75000</v>
      </c>
      <c r="O201" s="1068">
        <v>75000</v>
      </c>
      <c r="P201" s="1068">
        <v>75000</v>
      </c>
      <c r="Q201" s="1068">
        <v>75000</v>
      </c>
      <c r="R201" s="1068">
        <v>75000</v>
      </c>
      <c r="S201" s="1068">
        <v>75000</v>
      </c>
      <c r="T201" s="1068">
        <v>75000</v>
      </c>
      <c r="U201" s="705">
        <v>80000</v>
      </c>
      <c r="V201" s="705">
        <v>80000</v>
      </c>
      <c r="W201" s="705">
        <v>80000</v>
      </c>
      <c r="X201" s="705">
        <v>80000</v>
      </c>
      <c r="Y201" s="705">
        <v>80000</v>
      </c>
      <c r="Z201" s="705">
        <v>82000</v>
      </c>
      <c r="AA201" s="705">
        <v>82000</v>
      </c>
      <c r="AB201" s="705">
        <v>82000</v>
      </c>
      <c r="AC201" s="1069">
        <v>82000</v>
      </c>
      <c r="AD201" s="1069">
        <v>82000</v>
      </c>
      <c r="AE201" s="1069">
        <v>82333.333333333328</v>
      </c>
      <c r="AF201" s="1069">
        <v>82333.333333333328</v>
      </c>
      <c r="AG201" s="1068"/>
      <c r="AH201" s="1068">
        <f t="shared" si="18"/>
        <v>0</v>
      </c>
      <c r="AI201" s="1067"/>
    </row>
    <row r="202" spans="1:35" outlineLevel="2">
      <c r="A202" s="999"/>
      <c r="B202" s="1955" t="s">
        <v>1856</v>
      </c>
      <c r="C202" s="1955"/>
      <c r="D202" s="1955"/>
      <c r="E202" s="1955"/>
      <c r="F202" s="1020">
        <f>+F203</f>
        <v>21998.285943000003</v>
      </c>
      <c r="G202" s="1019">
        <f>+G203</f>
        <v>4.4422422516031106E-3</v>
      </c>
      <c r="H202" s="1070"/>
      <c r="I202" s="1070"/>
      <c r="J202" s="1051"/>
      <c r="K202" s="1070"/>
      <c r="L202" s="1051"/>
      <c r="M202" s="1068"/>
      <c r="N202" s="1068"/>
      <c r="O202" s="1068"/>
      <c r="P202" s="1068"/>
      <c r="Q202" s="1068"/>
      <c r="R202" s="1068"/>
      <c r="S202" s="1068"/>
      <c r="T202" s="1068"/>
      <c r="U202" s="705"/>
      <c r="V202" s="705"/>
      <c r="W202" s="705"/>
      <c r="X202" s="705"/>
      <c r="Y202" s="705"/>
      <c r="Z202" s="705"/>
      <c r="AA202" s="705"/>
      <c r="AB202" s="705"/>
      <c r="AC202" s="1069"/>
      <c r="AD202" s="1069"/>
      <c r="AE202" s="1069"/>
      <c r="AF202" s="1069"/>
      <c r="AG202" s="1068"/>
      <c r="AH202" s="1068">
        <f t="shared" si="18"/>
        <v>0</v>
      </c>
    </row>
    <row r="203" spans="1:35" s="1010" customFormat="1" outlineLevel="3">
      <c r="A203" s="999"/>
      <c r="B203" s="999"/>
      <c r="C203" s="1956" t="s">
        <v>1855</v>
      </c>
      <c r="D203" s="1956"/>
      <c r="E203" s="1956"/>
      <c r="F203" s="998">
        <f>SUM(F204:F207)</f>
        <v>21998.285943000003</v>
      </c>
      <c r="G203" s="997">
        <f>SUM(G204:G207)</f>
        <v>4.4422422516031106E-3</v>
      </c>
      <c r="H203" s="1070"/>
      <c r="I203" s="1070"/>
      <c r="J203" s="1070"/>
      <c r="K203" s="1070"/>
      <c r="L203" s="1070"/>
      <c r="M203" s="1068"/>
      <c r="N203" s="1068"/>
      <c r="O203" s="1068"/>
      <c r="P203" s="1068"/>
      <c r="Q203" s="1068"/>
      <c r="R203" s="1068"/>
      <c r="S203" s="1068"/>
      <c r="T203" s="1068"/>
      <c r="U203" s="1073"/>
      <c r="V203" s="1073"/>
      <c r="W203" s="1073"/>
      <c r="X203" s="1073"/>
      <c r="Y203" s="1073"/>
      <c r="Z203" s="1073"/>
      <c r="AA203" s="1073"/>
      <c r="AB203" s="1073"/>
      <c r="AC203" s="1069"/>
      <c r="AD203" s="1069"/>
      <c r="AE203" s="1069"/>
      <c r="AF203" s="1069"/>
      <c r="AG203" s="1068"/>
      <c r="AH203" s="1068">
        <f t="shared" si="18"/>
        <v>0</v>
      </c>
    </row>
    <row r="204" spans="1:35" s="1010" customFormat="1" outlineLevel="4">
      <c r="A204" s="999"/>
      <c r="B204" s="999"/>
      <c r="C204" s="999"/>
      <c r="D204" s="1015">
        <f>+D201+1</f>
        <v>142</v>
      </c>
      <c r="E204" s="1014" t="s">
        <v>1854</v>
      </c>
      <c r="F204" s="988">
        <f>+'[11]7'!$P$139+'[11]7'!$P$140+'[11]7'!$P$136+'[11]7'!$P$141</f>
        <v>3272.6345700000002</v>
      </c>
      <c r="G204" s="987">
        <f>+F204/$F$332</f>
        <v>6.6086219619929142E-4</v>
      </c>
      <c r="H204" s="1051">
        <v>18000</v>
      </c>
      <c r="I204" s="1051">
        <v>18000</v>
      </c>
      <c r="J204" s="1070">
        <v>18000</v>
      </c>
      <c r="K204" s="1051">
        <v>18000</v>
      </c>
      <c r="L204" s="1070">
        <v>19000</v>
      </c>
      <c r="M204" s="1068">
        <v>19000</v>
      </c>
      <c r="N204" s="1068">
        <v>19000</v>
      </c>
      <c r="O204" s="1068">
        <v>19000</v>
      </c>
      <c r="P204" s="1068">
        <v>19000</v>
      </c>
      <c r="Q204" s="1068">
        <v>19000</v>
      </c>
      <c r="R204" s="1068">
        <v>19000</v>
      </c>
      <c r="S204" s="1068">
        <v>19000</v>
      </c>
      <c r="T204" s="1068">
        <v>19000</v>
      </c>
      <c r="U204" s="1073">
        <v>20000</v>
      </c>
      <c r="V204" s="1073">
        <v>20000</v>
      </c>
      <c r="W204" s="1073">
        <v>20000</v>
      </c>
      <c r="X204" s="1073">
        <v>20000</v>
      </c>
      <c r="Y204" s="1073">
        <v>20000</v>
      </c>
      <c r="Z204" s="1073">
        <v>20000</v>
      </c>
      <c r="AA204" s="1073">
        <v>20000</v>
      </c>
      <c r="AB204" s="1073">
        <v>20000</v>
      </c>
      <c r="AC204" s="1069">
        <v>20000</v>
      </c>
      <c r="AD204" s="1069">
        <v>20000</v>
      </c>
      <c r="AE204" s="1069">
        <v>20000</v>
      </c>
      <c r="AF204" s="1069">
        <v>20000</v>
      </c>
      <c r="AG204" s="1068"/>
      <c r="AH204" s="1068">
        <f t="shared" si="18"/>
        <v>0</v>
      </c>
      <c r="AI204" s="1067"/>
    </row>
    <row r="205" spans="1:35" s="1010" customFormat="1" outlineLevel="4">
      <c r="A205" s="999"/>
      <c r="B205" s="999"/>
      <c r="C205" s="999"/>
      <c r="D205" s="1015">
        <f>+D204+1</f>
        <v>143</v>
      </c>
      <c r="E205" s="1014" t="s">
        <v>1853</v>
      </c>
      <c r="F205" s="988">
        <f>+'[11]7'!$P$144</f>
        <v>2218.2219599999999</v>
      </c>
      <c r="G205" s="987">
        <f>+F205/$F$332</f>
        <v>4.4793850483071092E-4</v>
      </c>
      <c r="H205" s="1051">
        <v>4500</v>
      </c>
      <c r="I205" s="1051">
        <v>4500</v>
      </c>
      <c r="J205" s="1070">
        <v>4500</v>
      </c>
      <c r="K205" s="1051">
        <v>4500</v>
      </c>
      <c r="L205" s="1070">
        <v>4750</v>
      </c>
      <c r="M205" s="1068">
        <v>4750</v>
      </c>
      <c r="N205" s="1068">
        <v>4750</v>
      </c>
      <c r="O205" s="1068">
        <v>4750</v>
      </c>
      <c r="P205" s="1068">
        <v>4750</v>
      </c>
      <c r="Q205" s="1068">
        <v>4750</v>
      </c>
      <c r="R205" s="1068">
        <v>4750</v>
      </c>
      <c r="S205" s="1068">
        <v>4750</v>
      </c>
      <c r="T205" s="1068">
        <v>4750</v>
      </c>
      <c r="U205" s="1073">
        <v>5000</v>
      </c>
      <c r="V205" s="1073">
        <v>5500</v>
      </c>
      <c r="W205" s="1073">
        <v>5500</v>
      </c>
      <c r="X205" s="1073">
        <v>6000</v>
      </c>
      <c r="Y205" s="1073">
        <v>6000</v>
      </c>
      <c r="Z205" s="1073">
        <v>6500</v>
      </c>
      <c r="AA205" s="1073">
        <v>6500</v>
      </c>
      <c r="AB205" s="1073">
        <v>6500</v>
      </c>
      <c r="AC205" s="1069">
        <v>6500</v>
      </c>
      <c r="AD205" s="1069">
        <v>6750</v>
      </c>
      <c r="AE205" s="1069">
        <v>6750</v>
      </c>
      <c r="AF205" s="1069">
        <v>6750</v>
      </c>
      <c r="AG205" s="1068"/>
      <c r="AH205" s="1068">
        <f t="shared" si="18"/>
        <v>0</v>
      </c>
      <c r="AI205" s="1067"/>
    </row>
    <row r="206" spans="1:35" s="1010" customFormat="1" outlineLevel="4">
      <c r="A206" s="999"/>
      <c r="B206" s="999"/>
      <c r="C206" s="999"/>
      <c r="D206" s="1015">
        <f>+D205+1</f>
        <v>144</v>
      </c>
      <c r="E206" s="1014" t="s">
        <v>1852</v>
      </c>
      <c r="F206" s="988">
        <f>+'[11]7'!$P$143+'[11]7'!$P$142</f>
        <v>6649.5193099999997</v>
      </c>
      <c r="G206" s="987">
        <f>+F206/$F$332</f>
        <v>1.3427762375791917E-3</v>
      </c>
      <c r="H206" s="1070">
        <v>300</v>
      </c>
      <c r="I206" s="1070">
        <v>300</v>
      </c>
      <c r="J206" s="1070">
        <v>300</v>
      </c>
      <c r="K206" s="1070">
        <v>300</v>
      </c>
      <c r="L206" s="1070">
        <v>300</v>
      </c>
      <c r="M206" s="1068">
        <v>300</v>
      </c>
      <c r="N206" s="1068">
        <v>300</v>
      </c>
      <c r="O206" s="1068">
        <v>300</v>
      </c>
      <c r="P206" s="1068">
        <v>300</v>
      </c>
      <c r="Q206" s="1068">
        <v>300</v>
      </c>
      <c r="R206" s="1068">
        <v>300</v>
      </c>
      <c r="S206" s="1068">
        <v>300</v>
      </c>
      <c r="T206" s="1068">
        <v>300</v>
      </c>
      <c r="U206" s="1073">
        <v>300</v>
      </c>
      <c r="V206" s="1073">
        <v>350</v>
      </c>
      <c r="W206" s="1073">
        <v>350</v>
      </c>
      <c r="X206" s="1073">
        <v>380</v>
      </c>
      <c r="Y206" s="1073">
        <v>400</v>
      </c>
      <c r="Z206" s="1073">
        <v>400</v>
      </c>
      <c r="AA206" s="1073">
        <v>400</v>
      </c>
      <c r="AB206" s="1073">
        <v>400</v>
      </c>
      <c r="AC206" s="1069">
        <v>400</v>
      </c>
      <c r="AD206" s="1069">
        <v>400</v>
      </c>
      <c r="AE206" s="1069">
        <v>400</v>
      </c>
      <c r="AF206" s="1069">
        <v>425</v>
      </c>
      <c r="AG206" s="1068"/>
      <c r="AH206" s="1068">
        <f t="shared" si="18"/>
        <v>25</v>
      </c>
      <c r="AI206" s="1067"/>
    </row>
    <row r="207" spans="1:35" ht="14.25" customHeight="1" outlineLevel="4">
      <c r="A207" s="999"/>
      <c r="B207" s="999"/>
      <c r="C207" s="999"/>
      <c r="D207" s="1015">
        <f>+D206+1</f>
        <v>145</v>
      </c>
      <c r="E207" s="1026" t="s">
        <v>1851</v>
      </c>
      <c r="F207" s="988">
        <f>+'[11]7'!$P$137+'[11]7'!$P$138+'[11]7'!$P$145+'[11]7'!$P$146+'[11]7'!$P$147+'[11]7'!$P$148+'[11]7'!$P$149</f>
        <v>9857.9101030000002</v>
      </c>
      <c r="G207" s="987">
        <f>+F207/$F$332</f>
        <v>1.9906653129939168E-3</v>
      </c>
      <c r="H207" s="1070">
        <v>6250</v>
      </c>
      <c r="I207" s="1070">
        <v>6250</v>
      </c>
      <c r="J207" s="1051">
        <v>6250</v>
      </c>
      <c r="K207" s="1070">
        <v>6250</v>
      </c>
      <c r="L207" s="1051">
        <v>6250</v>
      </c>
      <c r="M207" s="1068">
        <v>6250</v>
      </c>
      <c r="N207" s="1068">
        <v>6250</v>
      </c>
      <c r="O207" s="1068">
        <v>6250</v>
      </c>
      <c r="P207" s="1068">
        <v>6250</v>
      </c>
      <c r="Q207" s="1068">
        <v>6250</v>
      </c>
      <c r="R207" s="1068">
        <v>6250</v>
      </c>
      <c r="S207" s="1068">
        <v>6250</v>
      </c>
      <c r="T207" s="1068">
        <v>7000</v>
      </c>
      <c r="U207" s="705">
        <v>7500</v>
      </c>
      <c r="V207" s="705">
        <v>7000</v>
      </c>
      <c r="W207" s="705">
        <v>7500</v>
      </c>
      <c r="X207" s="705">
        <v>7500</v>
      </c>
      <c r="Y207" s="705">
        <v>7500</v>
      </c>
      <c r="Z207" s="705">
        <v>8000</v>
      </c>
      <c r="AA207" s="705">
        <v>8000</v>
      </c>
      <c r="AB207" s="705">
        <v>8000</v>
      </c>
      <c r="AC207" s="1069">
        <v>8000</v>
      </c>
      <c r="AD207" s="1069">
        <v>8000</v>
      </c>
      <c r="AE207" s="1069">
        <v>8000</v>
      </c>
      <c r="AF207" s="1069">
        <v>8000</v>
      </c>
      <c r="AG207" s="1068"/>
      <c r="AH207" s="1068">
        <f t="shared" si="18"/>
        <v>0</v>
      </c>
      <c r="AI207" s="1067"/>
    </row>
    <row r="208" spans="1:35" ht="14.25" customHeight="1" outlineLevel="2">
      <c r="A208" s="999"/>
      <c r="B208" s="1958" t="s">
        <v>1850</v>
      </c>
      <c r="C208" s="1958"/>
      <c r="D208" s="1958"/>
      <c r="E208" s="1958"/>
      <c r="F208" s="1020">
        <f>+F209</f>
        <v>26891.529786999999</v>
      </c>
      <c r="G208" s="1019">
        <f>+G209</f>
        <v>5.4303635355766227E-3</v>
      </c>
      <c r="H208" s="1070"/>
      <c r="I208" s="1070"/>
      <c r="J208" s="1051"/>
      <c r="K208" s="1070"/>
      <c r="L208" s="1051"/>
      <c r="M208" s="1068"/>
      <c r="N208" s="1068"/>
      <c r="O208" s="1068"/>
      <c r="P208" s="1068"/>
      <c r="Q208" s="1068"/>
      <c r="R208" s="1068"/>
      <c r="S208" s="1068"/>
      <c r="T208" s="1068"/>
      <c r="U208" s="705"/>
      <c r="V208" s="705"/>
      <c r="W208" s="705"/>
      <c r="X208" s="705"/>
      <c r="Y208" s="705"/>
      <c r="Z208" s="705"/>
      <c r="AA208" s="705"/>
      <c r="AB208" s="705"/>
      <c r="AC208" s="1069"/>
      <c r="AD208" s="1069"/>
      <c r="AE208" s="1069"/>
      <c r="AF208" s="1069"/>
      <c r="AG208" s="1068"/>
      <c r="AH208" s="1068">
        <f t="shared" si="18"/>
        <v>0</v>
      </c>
    </row>
    <row r="209" spans="1:35" s="1010" customFormat="1" outlineLevel="3">
      <c r="A209" s="999"/>
      <c r="B209" s="999"/>
      <c r="C209" s="1956" t="s">
        <v>1849</v>
      </c>
      <c r="D209" s="1956"/>
      <c r="E209" s="1956"/>
      <c r="F209" s="998">
        <f>SUM(F210:F212)</f>
        <v>26891.529786999999</v>
      </c>
      <c r="G209" s="997">
        <f>SUM(G210:G212)</f>
        <v>5.4303635355766227E-3</v>
      </c>
      <c r="H209" s="1070"/>
      <c r="I209" s="1070"/>
      <c r="J209" s="1070"/>
      <c r="K209" s="1070"/>
      <c r="L209" s="1070"/>
      <c r="M209" s="1068"/>
      <c r="N209" s="1068"/>
      <c r="O209" s="1068"/>
      <c r="P209" s="1068"/>
      <c r="Q209" s="1068"/>
      <c r="R209" s="1068"/>
      <c r="S209" s="1068"/>
      <c r="T209" s="1068"/>
      <c r="U209" s="1073"/>
      <c r="V209" s="1073"/>
      <c r="W209" s="1073"/>
      <c r="X209" s="1073"/>
      <c r="Y209" s="1073"/>
      <c r="Z209" s="1073"/>
      <c r="AA209" s="1073"/>
      <c r="AB209" s="1073"/>
      <c r="AC209" s="1069"/>
      <c r="AD209" s="1069"/>
      <c r="AE209" s="1069"/>
      <c r="AF209" s="1069"/>
      <c r="AG209" s="1068"/>
      <c r="AH209" s="1068">
        <f t="shared" si="18"/>
        <v>0</v>
      </c>
    </row>
    <row r="210" spans="1:35" s="1010" customFormat="1" outlineLevel="4">
      <c r="A210" s="999"/>
      <c r="B210" s="999"/>
      <c r="C210" s="999"/>
      <c r="D210" s="1017">
        <f>+D207+1</f>
        <v>146</v>
      </c>
      <c r="E210" s="1014" t="s">
        <v>1848</v>
      </c>
      <c r="F210" s="988">
        <f>+'[12]7'!$P$370+'[12]7'!$P$371</f>
        <v>13604.289199999999</v>
      </c>
      <c r="G210" s="987">
        <f>+F210/$F$332</f>
        <v>2.7471935060694236E-3</v>
      </c>
      <c r="H210" s="1051">
        <v>48000</v>
      </c>
      <c r="I210" s="1051">
        <v>48000</v>
      </c>
      <c r="J210" s="1070">
        <v>48000</v>
      </c>
      <c r="K210" s="1051">
        <v>48000</v>
      </c>
      <c r="L210" s="1070">
        <v>48000</v>
      </c>
      <c r="M210" s="1068">
        <v>48000</v>
      </c>
      <c r="N210" s="1068">
        <v>48000</v>
      </c>
      <c r="O210" s="1068">
        <v>48000</v>
      </c>
      <c r="P210" s="1068">
        <v>48000</v>
      </c>
      <c r="Q210" s="1068">
        <v>50000</v>
      </c>
      <c r="R210" s="1068">
        <v>50000</v>
      </c>
      <c r="S210" s="1068">
        <v>50000</v>
      </c>
      <c r="T210" s="1068">
        <v>50000</v>
      </c>
      <c r="U210" s="1073">
        <v>55000</v>
      </c>
      <c r="V210" s="1073">
        <v>55000</v>
      </c>
      <c r="W210" s="1073">
        <v>50000</v>
      </c>
      <c r="X210" s="1073">
        <v>50000</v>
      </c>
      <c r="Y210" s="1073">
        <v>50000</v>
      </c>
      <c r="Z210" s="1073">
        <v>50000</v>
      </c>
      <c r="AA210" s="1073">
        <v>50000</v>
      </c>
      <c r="AB210" s="1073">
        <v>50000</v>
      </c>
      <c r="AC210" s="1069">
        <v>50000</v>
      </c>
      <c r="AD210" s="1069">
        <v>50000</v>
      </c>
      <c r="AE210" s="1069">
        <v>50000</v>
      </c>
      <c r="AF210" s="1069">
        <v>50000</v>
      </c>
      <c r="AG210" s="1068"/>
      <c r="AH210" s="1068">
        <f t="shared" si="18"/>
        <v>0</v>
      </c>
      <c r="AI210" s="1067"/>
    </row>
    <row r="211" spans="1:35" s="1010" customFormat="1" outlineLevel="4">
      <c r="A211" s="999"/>
      <c r="B211" s="999"/>
      <c r="C211" s="999"/>
      <c r="D211" s="1017">
        <f>+D210+1</f>
        <v>147</v>
      </c>
      <c r="E211" s="1014" t="s">
        <v>1847</v>
      </c>
      <c r="F211" s="988">
        <f>+'[11]7'!$P$158++('[11]7'!$P$150+'[11]7'!$P$151+'[11]7'!$P$152+'[11]7'!$P$153+'[11]7'!$P$154+'[11]7'!$P$159+'[11]7'!$P$160+'[11]7'!$P$161+'[11]7'!$P$162+'[11]7'!$P$175+'[11]7'!$P$181+'[11]7'!$P$173)/2</f>
        <v>5611.2523984999998</v>
      </c>
      <c r="G211" s="987">
        <f>+F211/$F$332</f>
        <v>1.1331129413270395E-3</v>
      </c>
      <c r="H211" s="1051">
        <v>500</v>
      </c>
      <c r="I211" s="1051">
        <v>500</v>
      </c>
      <c r="J211" s="1070">
        <v>500</v>
      </c>
      <c r="K211" s="1051">
        <v>500</v>
      </c>
      <c r="L211" s="1070">
        <v>500</v>
      </c>
      <c r="M211" s="1068">
        <v>500</v>
      </c>
      <c r="N211" s="1068">
        <v>500</v>
      </c>
      <c r="O211" s="1068">
        <v>500</v>
      </c>
      <c r="P211" s="1068">
        <v>500</v>
      </c>
      <c r="Q211" s="1068">
        <v>500</v>
      </c>
      <c r="R211" s="1068">
        <v>500</v>
      </c>
      <c r="S211" s="1068">
        <v>500</v>
      </c>
      <c r="T211" s="1068">
        <v>500</v>
      </c>
      <c r="U211" s="1073">
        <v>500</v>
      </c>
      <c r="V211" s="1073">
        <v>500</v>
      </c>
      <c r="W211" s="1073">
        <v>500</v>
      </c>
      <c r="X211" s="1073">
        <v>500</v>
      </c>
      <c r="Y211" s="1073">
        <v>500</v>
      </c>
      <c r="Z211" s="1073">
        <v>500</v>
      </c>
      <c r="AA211" s="1073">
        <v>500</v>
      </c>
      <c r="AB211" s="1073">
        <v>500</v>
      </c>
      <c r="AC211" s="1069">
        <v>500</v>
      </c>
      <c r="AD211" s="1069">
        <v>500</v>
      </c>
      <c r="AE211" s="1069">
        <v>500</v>
      </c>
      <c r="AF211" s="1069">
        <v>500</v>
      </c>
      <c r="AG211" s="1068"/>
      <c r="AH211" s="1068">
        <f t="shared" si="18"/>
        <v>0</v>
      </c>
      <c r="AI211" s="1067"/>
    </row>
    <row r="212" spans="1:35" ht="14.25" customHeight="1" outlineLevel="4">
      <c r="A212" s="999"/>
      <c r="B212" s="999"/>
      <c r="C212" s="999"/>
      <c r="D212" s="1017">
        <f>+D211+1</f>
        <v>148</v>
      </c>
      <c r="E212" s="1026" t="s">
        <v>1846</v>
      </c>
      <c r="F212" s="988">
        <f>+'[11]7'!$P$156+'[11]7'!$P$157+'[11]7'!$P$155++('[11]7'!$P$150+'[11]7'!$P$151+'[11]7'!$P$152+'[11]7'!$P$153+'[11]7'!$P$154+'[11]7'!$P$159+'[11]7'!$P$160+'[11]7'!$P$161+'[11]7'!$P$162+'[11]7'!$P$175+'[11]7'!$P$181+'[11]7'!$P$173)/2</f>
        <v>7675.9881885000004</v>
      </c>
      <c r="G212" s="987">
        <f>+F212/$F$332</f>
        <v>1.5500570881801601E-3</v>
      </c>
      <c r="H212" s="1070">
        <v>200</v>
      </c>
      <c r="I212" s="1070">
        <v>200</v>
      </c>
      <c r="J212" s="1070">
        <v>200</v>
      </c>
      <c r="K212" s="1070">
        <v>200</v>
      </c>
      <c r="L212" s="1070">
        <v>200</v>
      </c>
      <c r="M212" s="1068">
        <v>200</v>
      </c>
      <c r="N212" s="1068">
        <v>200</v>
      </c>
      <c r="O212" s="1068">
        <v>200</v>
      </c>
      <c r="P212" s="1068">
        <v>200</v>
      </c>
      <c r="Q212" s="1068">
        <v>200</v>
      </c>
      <c r="R212" s="1068">
        <v>200</v>
      </c>
      <c r="S212" s="1068">
        <v>200</v>
      </c>
      <c r="T212" s="1068">
        <v>200</v>
      </c>
      <c r="U212" s="705">
        <v>250</v>
      </c>
      <c r="V212" s="705">
        <v>300</v>
      </c>
      <c r="W212" s="705">
        <v>300</v>
      </c>
      <c r="X212" s="705">
        <v>300</v>
      </c>
      <c r="Y212" s="705">
        <v>300</v>
      </c>
      <c r="Z212" s="705">
        <v>300</v>
      </c>
      <c r="AA212" s="705">
        <v>300</v>
      </c>
      <c r="AB212" s="705">
        <v>300</v>
      </c>
      <c r="AC212" s="1069">
        <v>325</v>
      </c>
      <c r="AD212" s="1069">
        <v>375</v>
      </c>
      <c r="AE212" s="1069">
        <v>425</v>
      </c>
      <c r="AF212" s="1069">
        <v>475</v>
      </c>
      <c r="AG212" s="1068"/>
      <c r="AH212" s="1068">
        <f t="shared" si="18"/>
        <v>50</v>
      </c>
      <c r="AI212" s="1067"/>
    </row>
    <row r="213" spans="1:35" ht="14.25" customHeight="1" outlineLevel="2">
      <c r="A213" s="999"/>
      <c r="B213" s="1958" t="s">
        <v>1845</v>
      </c>
      <c r="C213" s="1958"/>
      <c r="D213" s="1958"/>
      <c r="E213" s="1958"/>
      <c r="F213" s="1020">
        <f>+F214</f>
        <v>86711.912985000017</v>
      </c>
      <c r="G213" s="1019">
        <f>+G214</f>
        <v>1.7510242596963384E-2</v>
      </c>
      <c r="H213" s="1070"/>
      <c r="I213" s="1070"/>
      <c r="J213" s="1051"/>
      <c r="K213" s="1070"/>
      <c r="L213" s="1051"/>
      <c r="M213" s="1068"/>
      <c r="N213" s="1068"/>
      <c r="O213" s="1068"/>
      <c r="P213" s="1068"/>
      <c r="Q213" s="1068"/>
      <c r="R213" s="1068"/>
      <c r="S213" s="1068"/>
      <c r="T213" s="1068"/>
      <c r="U213" s="705"/>
      <c r="V213" s="705"/>
      <c r="W213" s="705"/>
      <c r="X213" s="705"/>
      <c r="Y213" s="705"/>
      <c r="Z213" s="705"/>
      <c r="AA213" s="705"/>
      <c r="AB213" s="705"/>
      <c r="AC213" s="1069"/>
      <c r="AD213" s="1069"/>
      <c r="AE213" s="1069"/>
      <c r="AF213" s="1069"/>
      <c r="AG213" s="1068"/>
      <c r="AH213" s="1068">
        <f t="shared" si="18"/>
        <v>0</v>
      </c>
    </row>
    <row r="214" spans="1:35" s="1010" customFormat="1" outlineLevel="3">
      <c r="A214" s="999"/>
      <c r="B214" s="999"/>
      <c r="C214" s="1956" t="s">
        <v>1844</v>
      </c>
      <c r="D214" s="1956"/>
      <c r="E214" s="1956"/>
      <c r="F214" s="998">
        <f>SUM(F215:F219)</f>
        <v>86711.912985000017</v>
      </c>
      <c r="G214" s="997">
        <f>SUM(G215:G219)</f>
        <v>1.7510242596963384E-2</v>
      </c>
      <c r="H214" s="1070"/>
      <c r="I214" s="1070"/>
      <c r="J214" s="1051"/>
      <c r="K214" s="1070"/>
      <c r="L214" s="1051"/>
      <c r="M214" s="1068"/>
      <c r="N214" s="1068"/>
      <c r="O214" s="1068"/>
      <c r="P214" s="1068"/>
      <c r="Q214" s="1068"/>
      <c r="R214" s="1068"/>
      <c r="S214" s="1068"/>
      <c r="T214" s="1068"/>
      <c r="U214" s="1073"/>
      <c r="V214" s="1073"/>
      <c r="W214" s="1073"/>
      <c r="X214" s="1073"/>
      <c r="Y214" s="1073"/>
      <c r="Z214" s="1073"/>
      <c r="AA214" s="1073"/>
      <c r="AB214" s="1073"/>
      <c r="AC214" s="1069"/>
      <c r="AD214" s="1069"/>
      <c r="AE214" s="1069"/>
      <c r="AF214" s="1069"/>
      <c r="AG214" s="1068"/>
      <c r="AH214" s="1068">
        <f t="shared" si="18"/>
        <v>0</v>
      </c>
    </row>
    <row r="215" spans="1:35" s="1010" customFormat="1" outlineLevel="4">
      <c r="A215" s="999"/>
      <c r="B215" s="999"/>
      <c r="C215" s="999"/>
      <c r="D215" s="1017">
        <f>+D212+1</f>
        <v>149</v>
      </c>
      <c r="E215" s="1014" t="s">
        <v>1843</v>
      </c>
      <c r="F215" s="988">
        <f>+'[11]7'!$P$163</f>
        <v>21038.342999999997</v>
      </c>
      <c r="G215" s="987">
        <f>+F215/$F$332</f>
        <v>4.2483953713701632E-3</v>
      </c>
      <c r="H215" s="1051">
        <v>350</v>
      </c>
      <c r="I215" s="1051">
        <v>350</v>
      </c>
      <c r="J215" s="1070">
        <v>350</v>
      </c>
      <c r="K215" s="1051">
        <v>367</v>
      </c>
      <c r="L215" s="1070">
        <v>400</v>
      </c>
      <c r="M215" s="1068">
        <v>417</v>
      </c>
      <c r="N215" s="1068">
        <v>417</v>
      </c>
      <c r="O215" s="1068">
        <v>417</v>
      </c>
      <c r="P215" s="1068">
        <v>417</v>
      </c>
      <c r="Q215" s="1068">
        <v>440</v>
      </c>
      <c r="R215" s="1068">
        <v>440</v>
      </c>
      <c r="S215" s="1068">
        <v>440</v>
      </c>
      <c r="T215" s="1068">
        <v>440</v>
      </c>
      <c r="U215" s="1073">
        <v>450</v>
      </c>
      <c r="V215" s="1073">
        <v>450</v>
      </c>
      <c r="W215" s="1073">
        <v>500</v>
      </c>
      <c r="X215" s="1073">
        <v>500</v>
      </c>
      <c r="Y215" s="1073">
        <v>500</v>
      </c>
      <c r="Z215" s="1073">
        <v>500</v>
      </c>
      <c r="AA215" s="1073">
        <v>500</v>
      </c>
      <c r="AB215" s="1073">
        <v>500</v>
      </c>
      <c r="AC215" s="1069">
        <v>500</v>
      </c>
      <c r="AD215" s="1069">
        <v>500</v>
      </c>
      <c r="AE215" s="1069">
        <v>500</v>
      </c>
      <c r="AF215" s="1069">
        <v>516.66666666666663</v>
      </c>
      <c r="AG215" s="1068"/>
      <c r="AH215" s="1068">
        <f t="shared" si="18"/>
        <v>16.666666666666629</v>
      </c>
      <c r="AI215" s="1067"/>
    </row>
    <row r="216" spans="1:35" s="1010" customFormat="1" outlineLevel="4">
      <c r="A216" s="999"/>
      <c r="B216" s="999"/>
      <c r="C216" s="999"/>
      <c r="D216" s="1017">
        <f>+D215+1</f>
        <v>150</v>
      </c>
      <c r="E216" s="1014" t="s">
        <v>1842</v>
      </c>
      <c r="F216" s="988">
        <f>+'[11]7'!$P$164</f>
        <v>23601.271000000001</v>
      </c>
      <c r="G216" s="987">
        <f>+F216/$F$332</f>
        <v>4.7659423783922945E-3</v>
      </c>
      <c r="H216" s="1051">
        <v>650</v>
      </c>
      <c r="I216" s="1051">
        <v>683</v>
      </c>
      <c r="J216" s="1070">
        <v>650</v>
      </c>
      <c r="K216" s="1051">
        <v>650</v>
      </c>
      <c r="L216" s="1070">
        <v>683</v>
      </c>
      <c r="M216" s="1068">
        <v>717</v>
      </c>
      <c r="N216" s="1068">
        <v>717</v>
      </c>
      <c r="O216" s="1068">
        <v>717</v>
      </c>
      <c r="P216" s="1068">
        <v>717</v>
      </c>
      <c r="Q216" s="1068">
        <v>717</v>
      </c>
      <c r="R216" s="1068">
        <v>760</v>
      </c>
      <c r="S216" s="1068">
        <v>760</v>
      </c>
      <c r="T216" s="1068">
        <v>760</v>
      </c>
      <c r="U216" s="1073">
        <v>800</v>
      </c>
      <c r="V216" s="1073">
        <v>800</v>
      </c>
      <c r="W216" s="1073">
        <v>800</v>
      </c>
      <c r="X216" s="1073">
        <v>860</v>
      </c>
      <c r="Y216" s="1073">
        <v>860</v>
      </c>
      <c r="Z216" s="1073">
        <v>860</v>
      </c>
      <c r="AA216" s="1073">
        <v>860</v>
      </c>
      <c r="AB216" s="1073">
        <v>860</v>
      </c>
      <c r="AC216" s="1069">
        <v>970</v>
      </c>
      <c r="AD216" s="1069">
        <v>970</v>
      </c>
      <c r="AE216" s="1069">
        <v>970</v>
      </c>
      <c r="AF216" s="1069">
        <v>1010</v>
      </c>
      <c r="AG216" s="1068"/>
      <c r="AH216" s="1068">
        <f t="shared" si="18"/>
        <v>40</v>
      </c>
      <c r="AI216" s="1067"/>
    </row>
    <row r="217" spans="1:35" s="1010" customFormat="1" outlineLevel="4">
      <c r="A217" s="999"/>
      <c r="B217" s="999"/>
      <c r="C217" s="999"/>
      <c r="D217" s="1017">
        <f>+D216+1</f>
        <v>151</v>
      </c>
      <c r="E217" s="1014" t="s">
        <v>1841</v>
      </c>
      <c r="F217" s="988">
        <f>+'[11]7'!$P$168+'[11]7'!$P$169+'[11]7'!$P$167+'[11]7'!$P$170+'[11]7'!$P$171+'[11]7'!$P$172+'[11]7'!$P$179+'[11]7'!$P$180+'[11]7'!$P$176+'[11]7'!$P$177</f>
        <v>32532.326685</v>
      </c>
      <c r="G217" s="987">
        <f>+F217/$F$332</f>
        <v>6.5694425700948064E-3</v>
      </c>
      <c r="H217" s="1070">
        <v>2467</v>
      </c>
      <c r="I217" s="1070">
        <v>2467</v>
      </c>
      <c r="J217" s="1070">
        <v>2467</v>
      </c>
      <c r="K217" s="1070">
        <v>2467</v>
      </c>
      <c r="L217" s="1070">
        <v>2467</v>
      </c>
      <c r="M217" s="1068">
        <v>2467</v>
      </c>
      <c r="N217" s="1068">
        <v>2467</v>
      </c>
      <c r="O217" s="1068">
        <v>2467</v>
      </c>
      <c r="P217" s="1068">
        <v>2467</v>
      </c>
      <c r="Q217" s="1068">
        <v>2467</v>
      </c>
      <c r="R217" s="1068">
        <v>2467</v>
      </c>
      <c r="S217" s="1068">
        <v>2467</v>
      </c>
      <c r="T217" s="1068">
        <v>2467</v>
      </c>
      <c r="U217" s="1073">
        <v>2500</v>
      </c>
      <c r="V217" s="1073">
        <v>2500</v>
      </c>
      <c r="W217" s="1073">
        <v>2800</v>
      </c>
      <c r="X217" s="1073">
        <v>2800</v>
      </c>
      <c r="Y217" s="1073">
        <v>2800</v>
      </c>
      <c r="Z217" s="1073">
        <v>2800</v>
      </c>
      <c r="AA217" s="1073">
        <v>2800</v>
      </c>
      <c r="AB217" s="1073">
        <v>2800</v>
      </c>
      <c r="AC217" s="1069">
        <v>2650</v>
      </c>
      <c r="AD217" s="1069">
        <v>2650</v>
      </c>
      <c r="AE217" s="1069">
        <v>2650</v>
      </c>
      <c r="AF217" s="1069">
        <v>2650</v>
      </c>
      <c r="AG217" s="1068"/>
      <c r="AH217" s="1068">
        <f t="shared" si="18"/>
        <v>0</v>
      </c>
      <c r="AI217" s="1067"/>
    </row>
    <row r="218" spans="1:35" s="1010" customFormat="1" outlineLevel="4">
      <c r="A218" s="999"/>
      <c r="B218" s="999"/>
      <c r="C218" s="999"/>
      <c r="D218" s="1017">
        <f>+D217+1</f>
        <v>152</v>
      </c>
      <c r="E218" s="1014" t="s">
        <v>1840</v>
      </c>
      <c r="F218" s="988">
        <f>+'[11]7'!$P$166</f>
        <v>2729.6299999999997</v>
      </c>
      <c r="G218" s="987">
        <f>+F218/$F$332</f>
        <v>5.5121011467267837E-4</v>
      </c>
      <c r="H218" s="1070">
        <v>950</v>
      </c>
      <c r="I218" s="1070">
        <v>950</v>
      </c>
      <c r="J218" s="1051">
        <v>950</v>
      </c>
      <c r="K218" s="1070">
        <v>950</v>
      </c>
      <c r="L218" s="1051">
        <v>950</v>
      </c>
      <c r="M218" s="1068">
        <v>950</v>
      </c>
      <c r="N218" s="1068">
        <v>950</v>
      </c>
      <c r="O218" s="1068">
        <v>950</v>
      </c>
      <c r="P218" s="1068">
        <v>950</v>
      </c>
      <c r="Q218" s="1068">
        <v>950</v>
      </c>
      <c r="R218" s="1068">
        <v>950</v>
      </c>
      <c r="S218" s="1068">
        <v>1000</v>
      </c>
      <c r="T218" s="1068">
        <v>1000</v>
      </c>
      <c r="U218" s="1073">
        <v>1100</v>
      </c>
      <c r="V218" s="1073">
        <v>1200</v>
      </c>
      <c r="W218" s="1073">
        <v>1200</v>
      </c>
      <c r="X218" s="1073">
        <v>1200</v>
      </c>
      <c r="Y218" s="1073">
        <v>1200</v>
      </c>
      <c r="Z218" s="1073">
        <v>1200</v>
      </c>
      <c r="AA218" s="1073">
        <v>1200</v>
      </c>
      <c r="AB218" s="1073">
        <v>1200</v>
      </c>
      <c r="AC218" s="1069">
        <v>1100</v>
      </c>
      <c r="AD218" s="1069">
        <v>1100</v>
      </c>
      <c r="AE218" s="1069">
        <v>1100</v>
      </c>
      <c r="AF218" s="1069">
        <v>1100</v>
      </c>
      <c r="AG218" s="1068"/>
      <c r="AH218" s="1068">
        <f t="shared" si="18"/>
        <v>0</v>
      </c>
      <c r="AI218" s="1067"/>
    </row>
    <row r="219" spans="1:35" outlineLevel="4">
      <c r="A219" s="999"/>
      <c r="B219" s="999"/>
      <c r="C219" s="999"/>
      <c r="D219" s="1017">
        <f>+D218+1</f>
        <v>153</v>
      </c>
      <c r="E219" s="1014" t="s">
        <v>1839</v>
      </c>
      <c r="F219" s="988">
        <f>+'[11]7'!$P$165</f>
        <v>6810.3422999999993</v>
      </c>
      <c r="G219" s="987">
        <f>+F219/$F$332</f>
        <v>1.3752521624334404E-3</v>
      </c>
      <c r="H219" s="1070">
        <v>400</v>
      </c>
      <c r="I219" s="1070">
        <v>400</v>
      </c>
      <c r="J219" s="1051">
        <v>400</v>
      </c>
      <c r="K219" s="1051">
        <v>400</v>
      </c>
      <c r="L219" s="1051">
        <v>400</v>
      </c>
      <c r="M219" s="1051">
        <v>400</v>
      </c>
      <c r="N219" s="1068">
        <v>450</v>
      </c>
      <c r="O219" s="1068">
        <v>450</v>
      </c>
      <c r="P219" s="1068">
        <v>450</v>
      </c>
      <c r="Q219" s="1068">
        <v>450</v>
      </c>
      <c r="R219" s="1068">
        <v>450</v>
      </c>
      <c r="S219" s="1068">
        <v>450</v>
      </c>
      <c r="T219" s="1068">
        <v>450</v>
      </c>
      <c r="U219" s="1068">
        <v>450</v>
      </c>
      <c r="V219" s="705">
        <v>500</v>
      </c>
      <c r="W219" s="705">
        <v>500</v>
      </c>
      <c r="X219" s="705">
        <v>500</v>
      </c>
      <c r="Y219" s="705">
        <v>500</v>
      </c>
      <c r="Z219" s="705">
        <v>500</v>
      </c>
      <c r="AA219" s="705">
        <v>500</v>
      </c>
      <c r="AB219" s="705">
        <v>500</v>
      </c>
      <c r="AC219" s="1069">
        <v>475</v>
      </c>
      <c r="AD219" s="1069">
        <v>475</v>
      </c>
      <c r="AE219" s="1069">
        <v>475</v>
      </c>
      <c r="AF219" s="1069">
        <v>475</v>
      </c>
      <c r="AG219" s="1068"/>
      <c r="AH219" s="1068">
        <f t="shared" si="18"/>
        <v>0</v>
      </c>
      <c r="AI219" s="1067"/>
    </row>
    <row r="220" spans="1:35" outlineLevel="1">
      <c r="A220" s="1954" t="s">
        <v>1838</v>
      </c>
      <c r="B220" s="1954"/>
      <c r="C220" s="1954"/>
      <c r="D220" s="1954"/>
      <c r="E220" s="1954"/>
      <c r="F220" s="1023">
        <f>+F221+F230+F234</f>
        <v>174634.65763199999</v>
      </c>
      <c r="G220" s="1022">
        <f>+G221+G230+G234</f>
        <v>3.5264995497250047E-2</v>
      </c>
      <c r="H220" s="1070"/>
      <c r="I220" s="1070"/>
      <c r="J220" s="1070"/>
      <c r="K220" s="1070"/>
      <c r="L220" s="1070"/>
      <c r="M220" s="1068"/>
      <c r="N220" s="1068"/>
      <c r="O220" s="1068"/>
      <c r="P220" s="1068"/>
      <c r="Q220" s="1068"/>
      <c r="R220" s="1068"/>
      <c r="S220" s="1068"/>
      <c r="T220" s="1068"/>
      <c r="U220" s="705"/>
      <c r="V220" s="705"/>
      <c r="W220" s="705"/>
      <c r="X220" s="705"/>
      <c r="Y220" s="705"/>
      <c r="Z220" s="705"/>
      <c r="AA220" s="705"/>
      <c r="AB220" s="705"/>
      <c r="AC220" s="1069"/>
      <c r="AD220" s="1069"/>
      <c r="AE220" s="1069"/>
      <c r="AF220" s="1069"/>
      <c r="AG220" s="1068"/>
      <c r="AH220" s="1068">
        <f t="shared" si="18"/>
        <v>0</v>
      </c>
    </row>
    <row r="221" spans="1:35" outlineLevel="2">
      <c r="A221" s="999"/>
      <c r="B221" s="1955" t="s">
        <v>1837</v>
      </c>
      <c r="C221" s="1955"/>
      <c r="D221" s="1955"/>
      <c r="E221" s="1955"/>
      <c r="F221" s="1020">
        <f>+F222</f>
        <v>122153.90630399999</v>
      </c>
      <c r="G221" s="1019">
        <f>+G222</f>
        <v>2.4667251129839373E-2</v>
      </c>
      <c r="H221" s="1070"/>
      <c r="I221" s="1070"/>
      <c r="J221" s="1070"/>
      <c r="K221" s="1070"/>
      <c r="L221" s="1070"/>
      <c r="M221" s="1068"/>
      <c r="N221" s="1068"/>
      <c r="O221" s="1068"/>
      <c r="P221" s="1068"/>
      <c r="Q221" s="1068"/>
      <c r="R221" s="1068"/>
      <c r="S221" s="1068"/>
      <c r="T221" s="1068"/>
      <c r="U221" s="705"/>
      <c r="V221" s="705"/>
      <c r="W221" s="705"/>
      <c r="X221" s="705"/>
      <c r="Y221" s="705"/>
      <c r="Z221" s="705"/>
      <c r="AA221" s="705"/>
      <c r="AB221" s="705"/>
      <c r="AC221" s="1069"/>
      <c r="AD221" s="1069"/>
      <c r="AE221" s="1069"/>
      <c r="AF221" s="1069"/>
      <c r="AG221" s="1068"/>
      <c r="AH221" s="1068">
        <f t="shared" si="18"/>
        <v>0</v>
      </c>
    </row>
    <row r="222" spans="1:35" s="1010" customFormat="1" outlineLevel="3">
      <c r="A222" s="999"/>
      <c r="B222" s="999"/>
      <c r="C222" s="1956" t="s">
        <v>1836</v>
      </c>
      <c r="D222" s="1956"/>
      <c r="E222" s="1956"/>
      <c r="F222" s="998">
        <f>SUM(F223:F229)</f>
        <v>122153.90630399999</v>
      </c>
      <c r="G222" s="997">
        <f>SUM(G223:G229)</f>
        <v>2.4667251129839373E-2</v>
      </c>
      <c r="H222" s="1051"/>
      <c r="I222" s="1051"/>
      <c r="J222" s="1070"/>
      <c r="K222" s="1051"/>
      <c r="L222" s="1070"/>
      <c r="M222" s="1068"/>
      <c r="N222" s="1068"/>
      <c r="O222" s="1068"/>
      <c r="P222" s="1068"/>
      <c r="Q222" s="1068"/>
      <c r="R222" s="1068"/>
      <c r="S222" s="1068"/>
      <c r="T222" s="1068"/>
      <c r="U222" s="1073"/>
      <c r="V222" s="1073"/>
      <c r="W222" s="1073"/>
      <c r="X222" s="1073"/>
      <c r="Y222" s="1073"/>
      <c r="Z222" s="1073"/>
      <c r="AA222" s="1073"/>
      <c r="AB222" s="1073"/>
      <c r="AC222" s="1069"/>
      <c r="AD222" s="1069"/>
      <c r="AE222" s="1069"/>
      <c r="AF222" s="1069"/>
      <c r="AG222" s="1068"/>
      <c r="AH222" s="1068">
        <f t="shared" si="18"/>
        <v>0</v>
      </c>
    </row>
    <row r="223" spans="1:35" s="1010" customFormat="1" outlineLevel="4">
      <c r="A223" s="999"/>
      <c r="B223" s="999"/>
      <c r="C223" s="999"/>
      <c r="D223" s="1017">
        <f>+D219+1</f>
        <v>154</v>
      </c>
      <c r="E223" s="1026" t="s">
        <v>1835</v>
      </c>
      <c r="F223" s="988">
        <f>+'[11]7'!$P$182*0.3</f>
        <v>28407.317999999996</v>
      </c>
      <c r="G223" s="987">
        <f t="shared" ref="G223:G229" si="19">+F223/$F$332</f>
        <v>5.7364554948191654E-3</v>
      </c>
      <c r="H223" s="1051">
        <v>250</v>
      </c>
      <c r="I223" s="1051">
        <v>250</v>
      </c>
      <c r="J223" s="1070">
        <v>250</v>
      </c>
      <c r="K223" s="1051">
        <v>250</v>
      </c>
      <c r="L223" s="1070">
        <v>250</v>
      </c>
      <c r="M223" s="1068">
        <v>250</v>
      </c>
      <c r="N223" s="1068">
        <v>250</v>
      </c>
      <c r="O223" s="1068">
        <v>250</v>
      </c>
      <c r="P223" s="1068">
        <v>250</v>
      </c>
      <c r="Q223" s="1068">
        <v>250</v>
      </c>
      <c r="R223" s="1068">
        <v>250</v>
      </c>
      <c r="S223" s="1068">
        <v>250</v>
      </c>
      <c r="T223" s="1068">
        <v>250</v>
      </c>
      <c r="U223" s="1073">
        <v>250</v>
      </c>
      <c r="V223" s="1073">
        <v>250</v>
      </c>
      <c r="W223" s="1073">
        <v>250</v>
      </c>
      <c r="X223" s="1073">
        <v>250</v>
      </c>
      <c r="Y223" s="1073">
        <v>250</v>
      </c>
      <c r="Z223" s="1073">
        <v>250</v>
      </c>
      <c r="AA223" s="1073">
        <v>280</v>
      </c>
      <c r="AB223" s="1073">
        <v>280</v>
      </c>
      <c r="AC223" s="1069">
        <v>280</v>
      </c>
      <c r="AD223" s="1069">
        <v>280</v>
      </c>
      <c r="AE223" s="1069">
        <v>280</v>
      </c>
      <c r="AF223" s="1069">
        <v>280</v>
      </c>
      <c r="AG223" s="1068"/>
      <c r="AH223" s="1068">
        <f t="shared" si="18"/>
        <v>0</v>
      </c>
      <c r="AI223" s="1067"/>
    </row>
    <row r="224" spans="1:35" s="1010" customFormat="1" outlineLevel="4">
      <c r="A224" s="999"/>
      <c r="B224" s="999"/>
      <c r="C224" s="999"/>
      <c r="D224" s="1017">
        <f t="shared" ref="D224:D229" si="20">+D223+1</f>
        <v>155</v>
      </c>
      <c r="E224" s="1014" t="s">
        <v>1834</v>
      </c>
      <c r="F224" s="988">
        <f>+'[11]7'!$P$182*0.3</f>
        <v>28407.317999999996</v>
      </c>
      <c r="G224" s="987">
        <f t="shared" si="19"/>
        <v>5.7364554948191654E-3</v>
      </c>
      <c r="H224" s="1051">
        <v>1000</v>
      </c>
      <c r="I224" s="1051">
        <v>1000</v>
      </c>
      <c r="J224" s="1070">
        <v>1000</v>
      </c>
      <c r="K224" s="1051">
        <v>1000</v>
      </c>
      <c r="L224" s="1070">
        <v>1050</v>
      </c>
      <c r="M224" s="1068">
        <v>1050</v>
      </c>
      <c r="N224" s="1068">
        <v>1050</v>
      </c>
      <c r="O224" s="1068">
        <v>1050</v>
      </c>
      <c r="P224" s="1068">
        <v>1050</v>
      </c>
      <c r="Q224" s="1068">
        <v>1050</v>
      </c>
      <c r="R224" s="1068">
        <v>1050</v>
      </c>
      <c r="S224" s="1068">
        <v>1050</v>
      </c>
      <c r="T224" s="1068">
        <v>1100</v>
      </c>
      <c r="U224" s="1073">
        <v>1100</v>
      </c>
      <c r="V224" s="1073">
        <v>1200</v>
      </c>
      <c r="W224" s="1073">
        <v>1200</v>
      </c>
      <c r="X224" s="1073">
        <v>1300</v>
      </c>
      <c r="Y224" s="1073">
        <v>1300</v>
      </c>
      <c r="Z224" s="1073">
        <v>1300</v>
      </c>
      <c r="AA224" s="1073">
        <v>1300</v>
      </c>
      <c r="AB224" s="1073">
        <v>1300</v>
      </c>
      <c r="AC224" s="1069">
        <v>1300</v>
      </c>
      <c r="AD224" s="1069">
        <v>1300</v>
      </c>
      <c r="AE224" s="1069">
        <v>1300</v>
      </c>
      <c r="AF224" s="1069">
        <v>1300</v>
      </c>
      <c r="AG224" s="1068"/>
      <c r="AH224" s="1068">
        <f t="shared" si="18"/>
        <v>0</v>
      </c>
      <c r="AI224" s="1067"/>
    </row>
    <row r="225" spans="1:35" s="1010" customFormat="1" outlineLevel="4">
      <c r="A225" s="999"/>
      <c r="B225" s="999"/>
      <c r="C225" s="999"/>
      <c r="D225" s="1017">
        <f t="shared" si="20"/>
        <v>156</v>
      </c>
      <c r="E225" s="1014" t="s">
        <v>1833</v>
      </c>
      <c r="F225" s="988">
        <f>+'[11]7'!$P$182*0.1</f>
        <v>9469.1059999999979</v>
      </c>
      <c r="G225" s="987">
        <f t="shared" si="19"/>
        <v>1.9121518316063885E-3</v>
      </c>
      <c r="H225" s="1070">
        <v>275</v>
      </c>
      <c r="I225" s="1070">
        <v>275</v>
      </c>
      <c r="J225" s="1051">
        <v>275</v>
      </c>
      <c r="K225" s="1070">
        <v>275</v>
      </c>
      <c r="L225" s="1051">
        <v>275</v>
      </c>
      <c r="M225" s="1068">
        <v>275</v>
      </c>
      <c r="N225" s="1068">
        <v>275</v>
      </c>
      <c r="O225" s="1068">
        <v>275</v>
      </c>
      <c r="P225" s="1068">
        <v>275</v>
      </c>
      <c r="Q225" s="1068">
        <v>275</v>
      </c>
      <c r="R225" s="1068">
        <v>275</v>
      </c>
      <c r="S225" s="1068">
        <v>275</v>
      </c>
      <c r="T225" s="1068">
        <v>275</v>
      </c>
      <c r="U225" s="1073">
        <v>300</v>
      </c>
      <c r="V225" s="1073">
        <v>300</v>
      </c>
      <c r="W225" s="1073">
        <v>300</v>
      </c>
      <c r="X225" s="1073">
        <v>300</v>
      </c>
      <c r="Y225" s="1073">
        <v>300</v>
      </c>
      <c r="Z225" s="1073">
        <v>300</v>
      </c>
      <c r="AA225" s="1073">
        <v>280</v>
      </c>
      <c r="AB225" s="1073">
        <v>280</v>
      </c>
      <c r="AC225" s="1069">
        <v>280</v>
      </c>
      <c r="AD225" s="1069">
        <v>280</v>
      </c>
      <c r="AE225" s="1069">
        <v>280</v>
      </c>
      <c r="AF225" s="1069">
        <v>280</v>
      </c>
      <c r="AG225" s="1068"/>
      <c r="AH225" s="1068">
        <f t="shared" si="18"/>
        <v>0</v>
      </c>
      <c r="AI225" s="1067"/>
    </row>
    <row r="226" spans="1:35" s="1010" customFormat="1" outlineLevel="4">
      <c r="A226" s="999"/>
      <c r="B226" s="999"/>
      <c r="C226" s="999"/>
      <c r="D226" s="1017">
        <f t="shared" si="20"/>
        <v>157</v>
      </c>
      <c r="E226" s="1014" t="s">
        <v>1832</v>
      </c>
      <c r="F226" s="988">
        <f>+'[11]7'!$P$182*0.1</f>
        <v>9469.1059999999979</v>
      </c>
      <c r="G226" s="987">
        <f t="shared" si="19"/>
        <v>1.9121518316063885E-3</v>
      </c>
      <c r="H226" s="1070">
        <v>590</v>
      </c>
      <c r="I226" s="1070">
        <v>590</v>
      </c>
      <c r="J226" s="1051">
        <v>590</v>
      </c>
      <c r="K226" s="1070">
        <v>590</v>
      </c>
      <c r="L226" s="1051">
        <v>590</v>
      </c>
      <c r="M226" s="1068">
        <v>590</v>
      </c>
      <c r="N226" s="1068">
        <v>590</v>
      </c>
      <c r="O226" s="1068">
        <v>590</v>
      </c>
      <c r="P226" s="1068">
        <v>590</v>
      </c>
      <c r="Q226" s="1068">
        <v>590</v>
      </c>
      <c r="R226" s="1068">
        <v>590</v>
      </c>
      <c r="S226" s="1068">
        <v>590</v>
      </c>
      <c r="T226" s="1068">
        <v>590</v>
      </c>
      <c r="U226" s="1073">
        <v>600</v>
      </c>
      <c r="V226" s="1073">
        <v>600</v>
      </c>
      <c r="W226" s="1073">
        <v>600</v>
      </c>
      <c r="X226" s="1073">
        <v>700</v>
      </c>
      <c r="Y226" s="1073">
        <v>700</v>
      </c>
      <c r="Z226" s="1073">
        <v>700</v>
      </c>
      <c r="AA226" s="1073">
        <v>750</v>
      </c>
      <c r="AB226" s="1073">
        <v>750</v>
      </c>
      <c r="AC226" s="1069">
        <v>800</v>
      </c>
      <c r="AD226" s="1069">
        <v>800</v>
      </c>
      <c r="AE226" s="1069">
        <v>800</v>
      </c>
      <c r="AF226" s="1069">
        <v>800</v>
      </c>
      <c r="AG226" s="1068"/>
      <c r="AH226" s="1068">
        <f t="shared" si="18"/>
        <v>0</v>
      </c>
      <c r="AI226" s="1067"/>
    </row>
    <row r="227" spans="1:35" s="1010" customFormat="1" outlineLevel="4">
      <c r="A227" s="999"/>
      <c r="B227" s="999"/>
      <c r="C227" s="999"/>
      <c r="D227" s="1017">
        <f t="shared" si="20"/>
        <v>158</v>
      </c>
      <c r="E227" s="1014" t="s">
        <v>1831</v>
      </c>
      <c r="F227" s="988">
        <f>+'[11]7'!$P$183</f>
        <v>25780.931800000002</v>
      </c>
      <c r="G227" s="987">
        <f t="shared" si="19"/>
        <v>5.2060940031603197E-3</v>
      </c>
      <c r="H227" s="1070">
        <v>235</v>
      </c>
      <c r="I227" s="1070">
        <v>235</v>
      </c>
      <c r="J227" s="1051">
        <v>235</v>
      </c>
      <c r="K227" s="1070">
        <v>235</v>
      </c>
      <c r="L227" s="1051">
        <v>250</v>
      </c>
      <c r="M227" s="1068">
        <v>250</v>
      </c>
      <c r="N227" s="1068">
        <v>250</v>
      </c>
      <c r="O227" s="1068">
        <v>250</v>
      </c>
      <c r="P227" s="1068">
        <v>250</v>
      </c>
      <c r="Q227" s="1068">
        <v>250</v>
      </c>
      <c r="R227" s="1068">
        <v>250</v>
      </c>
      <c r="S227" s="1068">
        <v>250</v>
      </c>
      <c r="T227" s="1068">
        <v>250</v>
      </c>
      <c r="U227" s="1073">
        <v>250</v>
      </c>
      <c r="V227" s="1073">
        <v>250</v>
      </c>
      <c r="W227" s="1073">
        <v>250</v>
      </c>
      <c r="X227" s="1073">
        <v>250</v>
      </c>
      <c r="Y227" s="1073">
        <v>250</v>
      </c>
      <c r="Z227" s="1073">
        <v>250</v>
      </c>
      <c r="AA227" s="1073">
        <v>250</v>
      </c>
      <c r="AB227" s="1073">
        <v>250</v>
      </c>
      <c r="AC227" s="1069">
        <v>250</v>
      </c>
      <c r="AD227" s="1069">
        <v>250</v>
      </c>
      <c r="AE227" s="1069">
        <v>250</v>
      </c>
      <c r="AF227" s="1069">
        <v>250</v>
      </c>
      <c r="AG227" s="1068"/>
      <c r="AH227" s="1068">
        <f t="shared" si="18"/>
        <v>0</v>
      </c>
      <c r="AI227" s="1067"/>
    </row>
    <row r="228" spans="1:35" s="1010" customFormat="1" outlineLevel="4">
      <c r="A228" s="999"/>
      <c r="B228" s="999"/>
      <c r="C228" s="999"/>
      <c r="D228" s="1017">
        <f t="shared" si="20"/>
        <v>159</v>
      </c>
      <c r="E228" s="1026" t="s">
        <v>1830</v>
      </c>
      <c r="F228" s="988">
        <f>+'[11]7'!$P$182*0.2</f>
        <v>18938.211999999996</v>
      </c>
      <c r="G228" s="987">
        <f t="shared" si="19"/>
        <v>3.824303663212777E-3</v>
      </c>
      <c r="H228" s="1070">
        <v>500</v>
      </c>
      <c r="I228" s="1070">
        <v>500</v>
      </c>
      <c r="J228" s="1070">
        <v>500</v>
      </c>
      <c r="K228" s="1070">
        <v>500</v>
      </c>
      <c r="L228" s="1070">
        <v>500</v>
      </c>
      <c r="M228" s="1068">
        <v>500</v>
      </c>
      <c r="N228" s="1068">
        <v>500</v>
      </c>
      <c r="O228" s="1068">
        <v>500</v>
      </c>
      <c r="P228" s="1068">
        <v>500</v>
      </c>
      <c r="Q228" s="1068">
        <v>500</v>
      </c>
      <c r="R228" s="1068">
        <v>500</v>
      </c>
      <c r="S228" s="1068">
        <v>500</v>
      </c>
      <c r="T228" s="1068">
        <v>500</v>
      </c>
      <c r="U228" s="1073">
        <v>500</v>
      </c>
      <c r="V228" s="1073">
        <v>500</v>
      </c>
      <c r="W228" s="1073">
        <v>500</v>
      </c>
      <c r="X228" s="1073">
        <v>500</v>
      </c>
      <c r="Y228" s="1073">
        <v>500</v>
      </c>
      <c r="Z228" s="1073">
        <v>500</v>
      </c>
      <c r="AA228" s="1073">
        <v>500</v>
      </c>
      <c r="AB228" s="1073">
        <v>500</v>
      </c>
      <c r="AC228" s="1069">
        <v>500</v>
      </c>
      <c r="AD228" s="1069">
        <v>500</v>
      </c>
      <c r="AE228" s="1069">
        <v>500</v>
      </c>
      <c r="AF228" s="1069">
        <v>500</v>
      </c>
      <c r="AG228" s="1068"/>
      <c r="AH228" s="1068">
        <f t="shared" si="18"/>
        <v>0</v>
      </c>
      <c r="AI228" s="1067"/>
    </row>
    <row r="229" spans="1:35" outlineLevel="4">
      <c r="A229" s="999"/>
      <c r="B229" s="999"/>
      <c r="C229" s="999"/>
      <c r="D229" s="1017">
        <f t="shared" si="20"/>
        <v>160</v>
      </c>
      <c r="E229" s="1026" t="s">
        <v>1829</v>
      </c>
      <c r="F229" s="988">
        <f>+'[11]7'!$P$184+'[11]7'!$P$186+'[11]7'!$P$185</f>
        <v>1681.9145040000003</v>
      </c>
      <c r="G229" s="987">
        <f t="shared" si="19"/>
        <v>3.3963881061516805E-4</v>
      </c>
      <c r="H229" s="1070">
        <v>1100</v>
      </c>
      <c r="I229" s="1070">
        <v>1100</v>
      </c>
      <c r="J229" s="1070">
        <v>1100</v>
      </c>
      <c r="K229" s="1070">
        <v>1100</v>
      </c>
      <c r="L229" s="1070">
        <v>1100</v>
      </c>
      <c r="M229" s="1068">
        <v>1100</v>
      </c>
      <c r="N229" s="1068">
        <v>1100</v>
      </c>
      <c r="O229" s="1068">
        <v>1100</v>
      </c>
      <c r="P229" s="1068">
        <v>1100</v>
      </c>
      <c r="Q229" s="1068">
        <v>1100</v>
      </c>
      <c r="R229" s="1068">
        <v>1100</v>
      </c>
      <c r="S229" s="1068">
        <v>1100</v>
      </c>
      <c r="T229" s="1068">
        <v>1100</v>
      </c>
      <c r="U229" s="705">
        <v>1100</v>
      </c>
      <c r="V229" s="705">
        <v>1100</v>
      </c>
      <c r="W229" s="705">
        <v>1100</v>
      </c>
      <c r="X229" s="705">
        <v>1100</v>
      </c>
      <c r="Y229" s="705">
        <v>1100</v>
      </c>
      <c r="Z229" s="705">
        <v>1100</v>
      </c>
      <c r="AA229" s="705">
        <v>1100</v>
      </c>
      <c r="AB229" s="705">
        <v>1100</v>
      </c>
      <c r="AC229" s="1069">
        <v>1000</v>
      </c>
      <c r="AD229" s="1069">
        <v>1000</v>
      </c>
      <c r="AE229" s="1069">
        <v>1000</v>
      </c>
      <c r="AF229" s="1069">
        <v>1000</v>
      </c>
      <c r="AG229" s="1068"/>
      <c r="AH229" s="1068">
        <f t="shared" si="18"/>
        <v>0</v>
      </c>
      <c r="AI229" s="1067"/>
    </row>
    <row r="230" spans="1:35" outlineLevel="2">
      <c r="A230" s="999"/>
      <c r="B230" s="1955" t="s">
        <v>1828</v>
      </c>
      <c r="C230" s="1955"/>
      <c r="D230" s="1955"/>
      <c r="E230" s="1955"/>
      <c r="F230" s="1020">
        <f>+F231</f>
        <v>21705.215228000001</v>
      </c>
      <c r="G230" s="1019">
        <f>+G231</f>
        <v>4.3830607719071981E-3</v>
      </c>
      <c r="H230" s="1070"/>
      <c r="I230" s="1070"/>
      <c r="J230" s="1070"/>
      <c r="K230" s="1070"/>
      <c r="L230" s="1070"/>
      <c r="M230" s="1068"/>
      <c r="N230" s="1068"/>
      <c r="O230" s="1068"/>
      <c r="P230" s="1068"/>
      <c r="Q230" s="1068"/>
      <c r="R230" s="1068"/>
      <c r="S230" s="1068"/>
      <c r="T230" s="1068"/>
      <c r="U230" s="705"/>
      <c r="V230" s="705"/>
      <c r="W230" s="705"/>
      <c r="X230" s="705"/>
      <c r="Y230" s="705"/>
      <c r="Z230" s="705"/>
      <c r="AA230" s="705"/>
      <c r="AB230" s="705"/>
      <c r="AC230" s="1069"/>
      <c r="AD230" s="1069"/>
      <c r="AE230" s="1069"/>
      <c r="AF230" s="1069"/>
      <c r="AG230" s="1068"/>
      <c r="AH230" s="1068">
        <f t="shared" si="18"/>
        <v>0</v>
      </c>
    </row>
    <row r="231" spans="1:35" s="1010" customFormat="1" outlineLevel="3">
      <c r="A231" s="999"/>
      <c r="B231" s="999"/>
      <c r="C231" s="1956" t="s">
        <v>1827</v>
      </c>
      <c r="D231" s="1956"/>
      <c r="E231" s="1956"/>
      <c r="F231" s="998">
        <f>SUM(F232:F233)</f>
        <v>21705.215228000001</v>
      </c>
      <c r="G231" s="997">
        <f>SUM(G232:G233)</f>
        <v>4.3830607719071981E-3</v>
      </c>
      <c r="H231" s="1070"/>
      <c r="I231" s="1070"/>
      <c r="J231" s="1070"/>
      <c r="K231" s="1070"/>
      <c r="L231" s="1070"/>
      <c r="M231" s="1068"/>
      <c r="N231" s="1068"/>
      <c r="O231" s="1068"/>
      <c r="P231" s="1068"/>
      <c r="Q231" s="1068"/>
      <c r="R231" s="1068"/>
      <c r="S231" s="1068"/>
      <c r="T231" s="1068"/>
      <c r="U231" s="1073"/>
      <c r="V231" s="1073"/>
      <c r="W231" s="1073"/>
      <c r="X231" s="1073"/>
      <c r="Y231" s="1073"/>
      <c r="Z231" s="1073"/>
      <c r="AA231" s="1073"/>
      <c r="AB231" s="1073"/>
      <c r="AC231" s="1069"/>
      <c r="AD231" s="1069"/>
      <c r="AE231" s="1069"/>
      <c r="AF231" s="1069"/>
      <c r="AG231" s="1068"/>
      <c r="AH231" s="1068">
        <f t="shared" si="18"/>
        <v>0</v>
      </c>
    </row>
    <row r="232" spans="1:35" s="1010" customFormat="1" outlineLevel="4">
      <c r="A232" s="999"/>
      <c r="B232" s="999"/>
      <c r="C232" s="999"/>
      <c r="D232" s="1013">
        <f>+D229+1</f>
        <v>161</v>
      </c>
      <c r="E232" s="1014" t="s">
        <v>1826</v>
      </c>
      <c r="F232" s="988">
        <f>+'[11]7'!$P$188</f>
        <v>1159.6141079999998</v>
      </c>
      <c r="G232" s="987">
        <f>+F232/$F$332</f>
        <v>2.3416764376370995E-4</v>
      </c>
      <c r="H232" s="1051">
        <v>5000</v>
      </c>
      <c r="I232" s="1051">
        <v>5000</v>
      </c>
      <c r="J232" s="1070">
        <v>5000</v>
      </c>
      <c r="K232" s="1051">
        <v>5000</v>
      </c>
      <c r="L232" s="1070">
        <v>5000</v>
      </c>
      <c r="M232" s="1068">
        <v>5500</v>
      </c>
      <c r="N232" s="1068">
        <v>5500</v>
      </c>
      <c r="O232" s="1068">
        <v>6000</v>
      </c>
      <c r="P232" s="1068">
        <v>6000</v>
      </c>
      <c r="Q232" s="1068">
        <v>6000</v>
      </c>
      <c r="R232" s="1068">
        <v>6000</v>
      </c>
      <c r="S232" s="1068">
        <v>6000</v>
      </c>
      <c r="T232" s="1068">
        <v>6000</v>
      </c>
      <c r="U232" s="1076">
        <v>7000</v>
      </c>
      <c r="V232" s="1073">
        <v>7000</v>
      </c>
      <c r="W232" s="1073">
        <v>7000</v>
      </c>
      <c r="X232" s="1073">
        <v>7000</v>
      </c>
      <c r="Y232" s="1073">
        <v>7000</v>
      </c>
      <c r="Z232" s="1073">
        <v>7000</v>
      </c>
      <c r="AA232" s="1073">
        <v>7500</v>
      </c>
      <c r="AB232" s="1073">
        <v>7500</v>
      </c>
      <c r="AC232" s="1069">
        <v>7500</v>
      </c>
      <c r="AD232" s="1069">
        <v>7500</v>
      </c>
      <c r="AE232" s="1069">
        <v>7500</v>
      </c>
      <c r="AF232" s="1069">
        <v>7500</v>
      </c>
      <c r="AG232" s="1068"/>
      <c r="AH232" s="1068">
        <f t="shared" si="18"/>
        <v>0</v>
      </c>
      <c r="AI232" s="1067"/>
    </row>
    <row r="233" spans="1:35" outlineLevel="4">
      <c r="A233" s="999"/>
      <c r="B233" s="999"/>
      <c r="C233" s="999"/>
      <c r="D233" s="1013">
        <f>+D232+1</f>
        <v>162</v>
      </c>
      <c r="E233" s="1016" t="s">
        <v>1825</v>
      </c>
      <c r="F233" s="988">
        <f>+'[11]7'!$P$187+'[11]7'!$P$189</f>
        <v>20545.601119999999</v>
      </c>
      <c r="G233" s="987">
        <f>+F233/$F$332</f>
        <v>4.1488931281434879E-3</v>
      </c>
      <c r="H233" s="1051">
        <v>3500</v>
      </c>
      <c r="I233" s="1051">
        <v>3500</v>
      </c>
      <c r="J233" s="1070">
        <v>3500</v>
      </c>
      <c r="K233" s="1051">
        <v>3500</v>
      </c>
      <c r="L233" s="1070">
        <v>3500</v>
      </c>
      <c r="M233" s="1068">
        <v>5000</v>
      </c>
      <c r="N233" s="1068">
        <v>5000</v>
      </c>
      <c r="O233" s="1068">
        <v>5000</v>
      </c>
      <c r="P233" s="1068">
        <v>5000</v>
      </c>
      <c r="Q233" s="1068">
        <v>5000</v>
      </c>
      <c r="R233" s="1068">
        <v>5000</v>
      </c>
      <c r="S233" s="1068">
        <v>5000</v>
      </c>
      <c r="T233" s="1068">
        <v>5000</v>
      </c>
      <c r="U233" s="700">
        <v>5000</v>
      </c>
      <c r="V233" s="705">
        <v>5000</v>
      </c>
      <c r="W233" s="705">
        <v>5000</v>
      </c>
      <c r="X233" s="705">
        <v>5000</v>
      </c>
      <c r="Y233" s="705">
        <v>5000</v>
      </c>
      <c r="Z233" s="705">
        <v>5000</v>
      </c>
      <c r="AA233" s="705">
        <v>5000</v>
      </c>
      <c r="AB233" s="705">
        <v>5000</v>
      </c>
      <c r="AC233" s="1069">
        <v>5000</v>
      </c>
      <c r="AD233" s="1069">
        <v>5000</v>
      </c>
      <c r="AE233" s="1069">
        <v>5000</v>
      </c>
      <c r="AF233" s="1069">
        <v>5000</v>
      </c>
      <c r="AG233" s="1068"/>
      <c r="AH233" s="1068">
        <f t="shared" si="18"/>
        <v>0</v>
      </c>
      <c r="AI233" s="1067"/>
    </row>
    <row r="234" spans="1:35" outlineLevel="2">
      <c r="A234" s="999"/>
      <c r="B234" s="1955" t="s">
        <v>1824</v>
      </c>
      <c r="C234" s="1955"/>
      <c r="D234" s="1955"/>
      <c r="E234" s="1955"/>
      <c r="F234" s="1020">
        <f>+F235</f>
        <v>30775.536100000001</v>
      </c>
      <c r="G234" s="1019">
        <f>+G235</f>
        <v>6.2146835955034768E-3</v>
      </c>
      <c r="H234" s="1070"/>
      <c r="I234" s="1070"/>
      <c r="J234" s="1070"/>
      <c r="K234" s="1070"/>
      <c r="L234" s="1070"/>
      <c r="M234" s="1068"/>
      <c r="N234" s="1068"/>
      <c r="O234" s="1068"/>
      <c r="P234" s="1068"/>
      <c r="Q234" s="1068"/>
      <c r="R234" s="1068"/>
      <c r="S234" s="1068"/>
      <c r="T234" s="1068"/>
      <c r="U234" s="705"/>
      <c r="V234" s="705"/>
      <c r="W234" s="705"/>
      <c r="X234" s="705"/>
      <c r="Y234" s="705"/>
      <c r="Z234" s="705"/>
      <c r="AA234" s="705"/>
      <c r="AB234" s="705"/>
      <c r="AC234" s="1069"/>
      <c r="AD234" s="1069"/>
      <c r="AE234" s="1069"/>
      <c r="AF234" s="1069"/>
      <c r="AG234" s="1068"/>
      <c r="AH234" s="1068">
        <f t="shared" si="18"/>
        <v>0</v>
      </c>
    </row>
    <row r="235" spans="1:35" s="1035" customFormat="1" outlineLevel="3">
      <c r="A235" s="999"/>
      <c r="B235" s="999"/>
      <c r="C235" s="1956" t="s">
        <v>1823</v>
      </c>
      <c r="D235" s="1956"/>
      <c r="E235" s="1956"/>
      <c r="F235" s="998">
        <f>SUM(F236:F237)</f>
        <v>30775.536100000001</v>
      </c>
      <c r="G235" s="997">
        <f>SUM(G236:G237)</f>
        <v>6.2146835955034768E-3</v>
      </c>
      <c r="H235" s="1070"/>
      <c r="I235" s="1070"/>
      <c r="J235" s="1051"/>
      <c r="K235" s="1070"/>
      <c r="L235" s="1051"/>
      <c r="M235" s="1068"/>
      <c r="N235" s="1068"/>
      <c r="O235" s="1068"/>
      <c r="P235" s="1068"/>
      <c r="Q235" s="1068"/>
      <c r="R235" s="1068"/>
      <c r="S235" s="1068"/>
      <c r="T235" s="1068"/>
      <c r="U235" s="1076"/>
      <c r="V235" s="1076"/>
      <c r="W235" s="1076"/>
      <c r="X235" s="1076"/>
      <c r="Y235" s="1076"/>
      <c r="Z235" s="1076"/>
      <c r="AA235" s="1076"/>
      <c r="AB235" s="1076"/>
      <c r="AC235" s="1069"/>
      <c r="AD235" s="1069"/>
      <c r="AE235" s="1069"/>
      <c r="AF235" s="1069"/>
      <c r="AG235" s="1068"/>
      <c r="AH235" s="1068">
        <f t="shared" si="18"/>
        <v>0</v>
      </c>
    </row>
    <row r="236" spans="1:35" s="1035" customFormat="1" ht="25.5" outlineLevel="4">
      <c r="A236" s="1034"/>
      <c r="B236" s="1034"/>
      <c r="C236" s="1034"/>
      <c r="D236" s="1033">
        <f>+D233+1</f>
        <v>163</v>
      </c>
      <c r="E236" s="1032" t="s">
        <v>1822</v>
      </c>
      <c r="F236" s="1031">
        <f>+'[11]7'!$P$190*0.5</f>
        <v>15387.768050000001</v>
      </c>
      <c r="G236" s="987">
        <f>+F236/$F$332</f>
        <v>3.1073417977517384E-3</v>
      </c>
      <c r="H236" s="1051">
        <v>2000</v>
      </c>
      <c r="I236" s="1051">
        <v>2000</v>
      </c>
      <c r="J236" s="1051">
        <v>2000</v>
      </c>
      <c r="K236" s="1051">
        <v>2000</v>
      </c>
      <c r="L236" s="1051">
        <v>2000</v>
      </c>
      <c r="M236" s="1051">
        <v>2000</v>
      </c>
      <c r="N236" s="1051">
        <v>2000</v>
      </c>
      <c r="O236" s="1051">
        <v>2000</v>
      </c>
      <c r="P236" s="1051">
        <v>2000</v>
      </c>
      <c r="Q236" s="1051">
        <v>2000</v>
      </c>
      <c r="R236" s="1051">
        <v>2000</v>
      </c>
      <c r="S236" s="1051">
        <v>2000</v>
      </c>
      <c r="T236" s="1051">
        <v>2000</v>
      </c>
      <c r="U236" s="1076">
        <v>2000</v>
      </c>
      <c r="V236" s="1079">
        <v>2000</v>
      </c>
      <c r="W236" s="1079">
        <v>2000</v>
      </c>
      <c r="X236" s="1079">
        <v>2000</v>
      </c>
      <c r="Y236" s="1079">
        <v>2000</v>
      </c>
      <c r="Z236" s="1079">
        <v>2000</v>
      </c>
      <c r="AA236" s="1079">
        <v>2000</v>
      </c>
      <c r="AB236" s="1079">
        <v>2000</v>
      </c>
      <c r="AC236" s="1069">
        <v>2000</v>
      </c>
      <c r="AD236" s="1069">
        <v>2000</v>
      </c>
      <c r="AE236" s="1069">
        <v>2000</v>
      </c>
      <c r="AF236" s="1069">
        <v>2000</v>
      </c>
      <c r="AG236" s="1068"/>
      <c r="AH236" s="1068">
        <f t="shared" si="18"/>
        <v>0</v>
      </c>
      <c r="AI236" s="1067"/>
    </row>
    <row r="237" spans="1:35" ht="25.5" outlineLevel="4">
      <c r="A237" s="1034"/>
      <c r="B237" s="1034"/>
      <c r="C237" s="1034"/>
      <c r="D237" s="1033">
        <f>+D236+1</f>
        <v>164</v>
      </c>
      <c r="E237" s="1032" t="s">
        <v>1821</v>
      </c>
      <c r="F237" s="1031">
        <f>+'[11]7'!$P$190*0.5</f>
        <v>15387.768050000001</v>
      </c>
      <c r="G237" s="987">
        <f>+F237/$F$332</f>
        <v>3.1073417977517384E-3</v>
      </c>
      <c r="H237" s="1051">
        <v>20000</v>
      </c>
      <c r="I237" s="1051">
        <v>20000</v>
      </c>
      <c r="J237" s="1051">
        <v>20000</v>
      </c>
      <c r="K237" s="1051">
        <v>20000</v>
      </c>
      <c r="L237" s="1051">
        <v>20000</v>
      </c>
      <c r="M237" s="1051">
        <v>20000</v>
      </c>
      <c r="N237" s="1051">
        <v>20000</v>
      </c>
      <c r="O237" s="1051">
        <v>20000</v>
      </c>
      <c r="P237" s="1051">
        <v>20000</v>
      </c>
      <c r="Q237" s="1051">
        <v>20000</v>
      </c>
      <c r="R237" s="1051">
        <v>20000</v>
      </c>
      <c r="S237" s="1051">
        <v>20000</v>
      </c>
      <c r="T237" s="1051">
        <v>20000</v>
      </c>
      <c r="U237" s="700">
        <v>20000</v>
      </c>
      <c r="V237" s="705">
        <v>20000</v>
      </c>
      <c r="W237" s="705">
        <v>20000</v>
      </c>
      <c r="X237" s="705">
        <v>20000</v>
      </c>
      <c r="Y237" s="705">
        <v>20000</v>
      </c>
      <c r="Z237" s="705">
        <v>20000</v>
      </c>
      <c r="AA237" s="705">
        <v>20000</v>
      </c>
      <c r="AB237" s="705">
        <v>20000</v>
      </c>
      <c r="AC237" s="1069">
        <v>20000</v>
      </c>
      <c r="AD237" s="1069">
        <v>20000</v>
      </c>
      <c r="AE237" s="1069">
        <v>20000</v>
      </c>
      <c r="AF237" s="1069">
        <v>20000</v>
      </c>
      <c r="AG237" s="1068"/>
      <c r="AH237" s="1068">
        <f t="shared" si="18"/>
        <v>0</v>
      </c>
      <c r="AI237" s="1067"/>
    </row>
    <row r="238" spans="1:35" outlineLevel="1">
      <c r="A238" s="1025" t="s">
        <v>1820</v>
      </c>
      <c r="B238" s="1025"/>
      <c r="C238" s="999"/>
      <c r="D238" s="1030"/>
      <c r="E238" s="1024"/>
      <c r="F238" s="1023">
        <f>+F239+F244+F253</f>
        <v>514094.56561399996</v>
      </c>
      <c r="G238" s="1022">
        <f>+G239+G244+G253</f>
        <v>0.10381411563643927</v>
      </c>
      <c r="H238" s="1078"/>
      <c r="I238" s="1078"/>
      <c r="J238" s="1070"/>
      <c r="K238" s="1078"/>
      <c r="L238" s="1070"/>
      <c r="M238" s="1068"/>
      <c r="N238" s="1068"/>
      <c r="O238" s="1068"/>
      <c r="P238" s="1068"/>
      <c r="Q238" s="1068"/>
      <c r="R238" s="1068"/>
      <c r="S238" s="1068"/>
      <c r="T238" s="1068"/>
      <c r="U238" s="705"/>
      <c r="V238" s="705"/>
      <c r="W238" s="705"/>
      <c r="X238" s="705"/>
      <c r="Y238" s="705"/>
      <c r="Z238" s="705"/>
      <c r="AA238" s="705"/>
      <c r="AB238" s="705"/>
      <c r="AC238" s="1069"/>
      <c r="AD238" s="1069"/>
      <c r="AE238" s="1069"/>
      <c r="AF238" s="1069"/>
      <c r="AG238" s="1068"/>
      <c r="AH238" s="1068">
        <f t="shared" si="18"/>
        <v>0</v>
      </c>
    </row>
    <row r="239" spans="1:35" outlineLevel="2">
      <c r="A239" s="999"/>
      <c r="B239" s="1955" t="s">
        <v>1819</v>
      </c>
      <c r="C239" s="1955"/>
      <c r="D239" s="1955"/>
      <c r="E239" s="1955"/>
      <c r="F239" s="1020">
        <f>+F240+F242</f>
        <v>197578.47080000001</v>
      </c>
      <c r="G239" s="1019">
        <f>+G240+G242</f>
        <v>3.9898173579027363E-2</v>
      </c>
      <c r="H239" s="1078"/>
      <c r="I239" s="1078"/>
      <c r="J239" s="1051"/>
      <c r="K239" s="1078"/>
      <c r="L239" s="1051"/>
      <c r="M239" s="1068"/>
      <c r="N239" s="1068"/>
      <c r="O239" s="1068"/>
      <c r="P239" s="1068"/>
      <c r="Q239" s="1068"/>
      <c r="R239" s="1068"/>
      <c r="S239" s="1068"/>
      <c r="T239" s="1068"/>
      <c r="U239" s="705"/>
      <c r="V239" s="705"/>
      <c r="W239" s="705"/>
      <c r="X239" s="705"/>
      <c r="Y239" s="705"/>
      <c r="Z239" s="705"/>
      <c r="AA239" s="705"/>
      <c r="AB239" s="705"/>
      <c r="AC239" s="1069"/>
      <c r="AD239" s="1069"/>
      <c r="AE239" s="1069"/>
      <c r="AF239" s="1069"/>
      <c r="AG239" s="1068"/>
      <c r="AH239" s="1068">
        <f t="shared" si="18"/>
        <v>0</v>
      </c>
    </row>
    <row r="240" spans="1:35" s="1010" customFormat="1" outlineLevel="3">
      <c r="A240" s="999"/>
      <c r="B240" s="999"/>
      <c r="C240" s="1956" t="s">
        <v>1818</v>
      </c>
      <c r="D240" s="1956"/>
      <c r="E240" s="1956"/>
      <c r="F240" s="998">
        <f>SUM(F241)</f>
        <v>195277.383</v>
      </c>
      <c r="G240" s="997">
        <f>SUM(G241)</f>
        <v>3.9433501491561329E-2</v>
      </c>
      <c r="H240" s="1051"/>
      <c r="I240" s="1051"/>
      <c r="J240" s="1051"/>
      <c r="K240" s="1051"/>
      <c r="L240" s="1051"/>
      <c r="M240" s="1068"/>
      <c r="N240" s="1068"/>
      <c r="O240" s="1068"/>
      <c r="P240" s="1068"/>
      <c r="Q240" s="1068"/>
      <c r="R240" s="1068"/>
      <c r="S240" s="1068"/>
      <c r="T240" s="1068"/>
      <c r="U240" s="1073"/>
      <c r="V240" s="1073"/>
      <c r="W240" s="1073"/>
      <c r="X240" s="1073"/>
      <c r="Y240" s="1073"/>
      <c r="Z240" s="1073"/>
      <c r="AA240" s="1073"/>
      <c r="AB240" s="1073"/>
      <c r="AC240" s="1069"/>
      <c r="AD240" s="1069"/>
      <c r="AE240" s="1069"/>
      <c r="AF240" s="1069"/>
      <c r="AG240" s="1068"/>
      <c r="AH240" s="1068">
        <f t="shared" si="18"/>
        <v>0</v>
      </c>
    </row>
    <row r="241" spans="1:35" outlineLevel="4">
      <c r="A241" s="999"/>
      <c r="B241" s="999"/>
      <c r="C241" s="999"/>
      <c r="D241" s="1015">
        <f>+D237+1</f>
        <v>165</v>
      </c>
      <c r="E241" s="1026" t="s">
        <v>1817</v>
      </c>
      <c r="F241" s="988">
        <f>+'[11]7'!$P$191+'[11]7'!$P$194</f>
        <v>195277.383</v>
      </c>
      <c r="G241" s="987">
        <f>+F241/$F$332</f>
        <v>3.9433501491561329E-2</v>
      </c>
      <c r="H241" s="1051">
        <v>1250000</v>
      </c>
      <c r="I241" s="1051">
        <v>1250000</v>
      </c>
      <c r="J241" s="1078">
        <v>1250000</v>
      </c>
      <c r="K241" s="1051">
        <v>1250000</v>
      </c>
      <c r="L241" s="1078">
        <v>1250000</v>
      </c>
      <c r="M241" s="1068">
        <v>1250000</v>
      </c>
      <c r="N241" s="1068">
        <v>1300000</v>
      </c>
      <c r="O241" s="1068">
        <v>1350000</v>
      </c>
      <c r="P241" s="1068">
        <v>1350000</v>
      </c>
      <c r="Q241" s="1068">
        <v>1350000</v>
      </c>
      <c r="R241" s="1068">
        <v>1350000</v>
      </c>
      <c r="S241" s="1068">
        <v>1350000</v>
      </c>
      <c r="T241" s="1068">
        <v>1350000</v>
      </c>
      <c r="U241" s="705">
        <v>1350000</v>
      </c>
      <c r="V241" s="705">
        <v>1350000</v>
      </c>
      <c r="W241" s="705">
        <v>1350000</v>
      </c>
      <c r="X241" s="705">
        <v>1350000</v>
      </c>
      <c r="Y241" s="705">
        <v>1350000</v>
      </c>
      <c r="Z241" s="705">
        <v>1300000</v>
      </c>
      <c r="AA241" s="705">
        <v>1300000</v>
      </c>
      <c r="AB241" s="705">
        <v>1300000</v>
      </c>
      <c r="AC241" s="1069">
        <v>1350000</v>
      </c>
      <c r="AD241" s="1069">
        <v>1350000</v>
      </c>
      <c r="AE241" s="1069">
        <v>1350000</v>
      </c>
      <c r="AF241" s="1069">
        <v>1350000</v>
      </c>
      <c r="AG241" s="1068"/>
      <c r="AH241" s="1068">
        <f t="shared" si="18"/>
        <v>0</v>
      </c>
      <c r="AI241" s="1067"/>
    </row>
    <row r="242" spans="1:35" s="1010" customFormat="1" outlineLevel="3">
      <c r="A242" s="999"/>
      <c r="B242" s="999"/>
      <c r="C242" s="1956" t="s">
        <v>1816</v>
      </c>
      <c r="D242" s="1956"/>
      <c r="E242" s="1956"/>
      <c r="F242" s="1029">
        <f>SUM(F243)</f>
        <v>2301.0878000000002</v>
      </c>
      <c r="G242" s="997">
        <f>SUM(G243)</f>
        <v>4.6467208746603074E-4</v>
      </c>
      <c r="H242" s="1051"/>
      <c r="I242" s="1051"/>
      <c r="J242" s="1078"/>
      <c r="K242" s="1051"/>
      <c r="L242" s="1078"/>
      <c r="M242" s="1068"/>
      <c r="N242" s="1068"/>
      <c r="O242" s="1068"/>
      <c r="P242" s="1068"/>
      <c r="Q242" s="1068"/>
      <c r="R242" s="1068"/>
      <c r="S242" s="1068"/>
      <c r="T242" s="1068"/>
      <c r="U242" s="1073"/>
      <c r="V242" s="1073"/>
      <c r="W242" s="1073"/>
      <c r="X242" s="1073"/>
      <c r="Y242" s="1073"/>
      <c r="Z242" s="1073"/>
      <c r="AA242" s="1073"/>
      <c r="AB242" s="1073"/>
      <c r="AC242" s="1069"/>
      <c r="AD242" s="1069"/>
      <c r="AE242" s="1069"/>
      <c r="AF242" s="1069"/>
      <c r="AG242" s="1068"/>
      <c r="AH242" s="1068">
        <f t="shared" si="18"/>
        <v>0</v>
      </c>
    </row>
    <row r="243" spans="1:35" outlineLevel="4">
      <c r="A243" s="999"/>
      <c r="B243" s="999"/>
      <c r="C243" s="999"/>
      <c r="D243" s="1015">
        <f>+D241+1</f>
        <v>166</v>
      </c>
      <c r="E243" s="1014" t="s">
        <v>1815</v>
      </c>
      <c r="F243" s="988">
        <f>+'[11]7'!$P$195+'[11]7'!$P$196</f>
        <v>2301.0878000000002</v>
      </c>
      <c r="G243" s="987">
        <f>+F243/$F$332</f>
        <v>4.6467208746603074E-4</v>
      </c>
      <c r="H243" s="1070">
        <v>52000</v>
      </c>
      <c r="I243" s="1070">
        <v>52000</v>
      </c>
      <c r="J243" s="1051">
        <v>52000</v>
      </c>
      <c r="K243" s="1070">
        <v>52000</v>
      </c>
      <c r="L243" s="1051">
        <v>52000</v>
      </c>
      <c r="M243" s="1068">
        <v>55000</v>
      </c>
      <c r="N243" s="1068">
        <v>60000</v>
      </c>
      <c r="O243" s="1068">
        <v>60000</v>
      </c>
      <c r="P243" s="1068">
        <v>60000</v>
      </c>
      <c r="Q243" s="1068">
        <v>60000</v>
      </c>
      <c r="R243" s="1068">
        <v>60000</v>
      </c>
      <c r="S243" s="1068">
        <v>62000</v>
      </c>
      <c r="T243" s="1068">
        <v>62000</v>
      </c>
      <c r="U243" s="705">
        <v>65000</v>
      </c>
      <c r="V243" s="705">
        <v>65000</v>
      </c>
      <c r="W243" s="705">
        <v>70000</v>
      </c>
      <c r="X243" s="705">
        <v>70000</v>
      </c>
      <c r="Y243" s="705">
        <v>70000</v>
      </c>
      <c r="Z243" s="705">
        <v>75000</v>
      </c>
      <c r="AA243" s="705">
        <v>85000</v>
      </c>
      <c r="AB243" s="705">
        <v>80000</v>
      </c>
      <c r="AC243" s="1069">
        <v>80000</v>
      </c>
      <c r="AD243" s="1069">
        <v>80000</v>
      </c>
      <c r="AE243" s="1069">
        <v>80000</v>
      </c>
      <c r="AF243" s="1069">
        <v>80000</v>
      </c>
      <c r="AG243" s="1068"/>
      <c r="AH243" s="1068">
        <f t="shared" si="18"/>
        <v>0</v>
      </c>
      <c r="AI243" s="1067"/>
    </row>
    <row r="244" spans="1:35" outlineLevel="2">
      <c r="A244" s="999"/>
      <c r="B244" s="1955" t="s">
        <v>1814</v>
      </c>
      <c r="C244" s="1955"/>
      <c r="D244" s="1955"/>
      <c r="E244" s="1955"/>
      <c r="F244" s="1020">
        <f>+F245+F247+F251</f>
        <v>184408.80952399995</v>
      </c>
      <c r="G244" s="1019">
        <f>+G245+G247+G251</f>
        <v>3.7238747025925181E-2</v>
      </c>
      <c r="H244" s="1051"/>
      <c r="I244" s="1051"/>
      <c r="J244" s="1051"/>
      <c r="K244" s="1051"/>
      <c r="L244" s="1051"/>
      <c r="M244" s="1068"/>
      <c r="N244" s="1068"/>
      <c r="O244" s="1068"/>
      <c r="P244" s="1068"/>
      <c r="Q244" s="1068"/>
      <c r="R244" s="1068"/>
      <c r="S244" s="1068"/>
      <c r="T244" s="1068"/>
      <c r="U244" s="705"/>
      <c r="V244" s="705"/>
      <c r="W244" s="705"/>
      <c r="X244" s="705"/>
      <c r="Y244" s="705"/>
      <c r="Z244" s="705"/>
      <c r="AA244" s="705"/>
      <c r="AB244" s="705"/>
      <c r="AC244" s="1069"/>
      <c r="AD244" s="1069"/>
      <c r="AE244" s="1069"/>
      <c r="AF244" s="1069"/>
      <c r="AG244" s="1068"/>
      <c r="AH244" s="1068">
        <f t="shared" si="18"/>
        <v>0</v>
      </c>
    </row>
    <row r="245" spans="1:35" s="1010" customFormat="1" outlineLevel="3">
      <c r="A245" s="999"/>
      <c r="B245" s="999"/>
      <c r="C245" s="1956" t="s">
        <v>1813</v>
      </c>
      <c r="D245" s="1956"/>
      <c r="E245" s="1956"/>
      <c r="F245" s="998">
        <f>SUM(F246)</f>
        <v>60296.523889999997</v>
      </c>
      <c r="G245" s="997">
        <f>SUM(G246)</f>
        <v>1.2176028929844261E-2</v>
      </c>
      <c r="H245" s="1070"/>
      <c r="I245" s="1070"/>
      <c r="J245" s="1051"/>
      <c r="K245" s="1070"/>
      <c r="L245" s="1051"/>
      <c r="M245" s="1068"/>
      <c r="N245" s="1068"/>
      <c r="O245" s="1068"/>
      <c r="P245" s="1068"/>
      <c r="Q245" s="1068"/>
      <c r="R245" s="1068"/>
      <c r="S245" s="1068"/>
      <c r="T245" s="1068"/>
      <c r="U245" s="1073"/>
      <c r="V245" s="1073"/>
      <c r="W245" s="1073"/>
      <c r="X245" s="1073"/>
      <c r="Y245" s="1073"/>
      <c r="Z245" s="1073"/>
      <c r="AA245" s="1073"/>
      <c r="AB245" s="1073"/>
      <c r="AC245" s="1069"/>
      <c r="AD245" s="1069"/>
      <c r="AE245" s="1069"/>
      <c r="AF245" s="1069"/>
      <c r="AG245" s="1068"/>
      <c r="AH245" s="1068">
        <f t="shared" si="18"/>
        <v>0</v>
      </c>
    </row>
    <row r="246" spans="1:35" ht="14.25" customHeight="1" outlineLevel="4">
      <c r="A246" s="999"/>
      <c r="B246" s="999"/>
      <c r="C246" s="999"/>
      <c r="D246" s="1015">
        <f>+D243+1</f>
        <v>167</v>
      </c>
      <c r="E246" s="1014" t="s">
        <v>1812</v>
      </c>
      <c r="F246" s="988">
        <f>+'[11]7'!$P$198+'[11]7'!$P$199</f>
        <v>60296.523889999997</v>
      </c>
      <c r="G246" s="987">
        <f>+F246/$F$332</f>
        <v>1.2176028929844261E-2</v>
      </c>
      <c r="H246" s="1051">
        <v>150000</v>
      </c>
      <c r="I246" s="1051">
        <v>150000</v>
      </c>
      <c r="J246" s="1070">
        <v>150000</v>
      </c>
      <c r="K246" s="1051">
        <v>150000</v>
      </c>
      <c r="L246" s="1070">
        <v>150000</v>
      </c>
      <c r="M246" s="1068">
        <v>150000</v>
      </c>
      <c r="N246" s="1068">
        <v>150000</v>
      </c>
      <c r="O246" s="1068">
        <v>150000</v>
      </c>
      <c r="P246" s="1068">
        <v>150000</v>
      </c>
      <c r="Q246" s="1068">
        <v>150000</v>
      </c>
      <c r="R246" s="1068">
        <v>150000</v>
      </c>
      <c r="S246" s="1068">
        <v>150000</v>
      </c>
      <c r="T246" s="1068">
        <v>150000</v>
      </c>
      <c r="U246" s="705">
        <v>150000</v>
      </c>
      <c r="V246" s="705">
        <v>150000</v>
      </c>
      <c r="W246" s="705">
        <v>150000</v>
      </c>
      <c r="X246" s="705">
        <v>150000</v>
      </c>
      <c r="Y246" s="705">
        <v>150000</v>
      </c>
      <c r="Z246" s="705">
        <v>150000</v>
      </c>
      <c r="AA246" s="705">
        <v>150000</v>
      </c>
      <c r="AB246" s="705">
        <v>150000</v>
      </c>
      <c r="AC246" s="1069">
        <v>150000</v>
      </c>
      <c r="AD246" s="1069">
        <v>150000</v>
      </c>
      <c r="AE246" s="1069">
        <v>150000</v>
      </c>
      <c r="AF246" s="1069">
        <v>150000</v>
      </c>
      <c r="AG246" s="1068"/>
      <c r="AH246" s="1068">
        <f t="shared" si="18"/>
        <v>0</v>
      </c>
      <c r="AI246" s="1067"/>
    </row>
    <row r="247" spans="1:35" s="1010" customFormat="1" ht="14.25" customHeight="1" outlineLevel="3">
      <c r="A247" s="999"/>
      <c r="B247" s="999"/>
      <c r="C247" s="1957" t="s">
        <v>1811</v>
      </c>
      <c r="D247" s="1957"/>
      <c r="E247" s="1957"/>
      <c r="F247" s="998">
        <f>SUM(F248:F250)</f>
        <v>104940.00009999998</v>
      </c>
      <c r="G247" s="997">
        <f>SUM(G248:G250)</f>
        <v>2.1191146598209969E-2</v>
      </c>
      <c r="H247" s="1051"/>
      <c r="I247" s="1051"/>
      <c r="J247" s="1051"/>
      <c r="K247" s="1051"/>
      <c r="L247" s="1051"/>
      <c r="M247" s="1068"/>
      <c r="N247" s="1068"/>
      <c r="O247" s="1068"/>
      <c r="P247" s="1068"/>
      <c r="Q247" s="1068"/>
      <c r="R247" s="1068"/>
      <c r="S247" s="1068"/>
      <c r="T247" s="1068"/>
      <c r="U247" s="1073"/>
      <c r="V247" s="1073"/>
      <c r="W247" s="1073"/>
      <c r="X247" s="1073"/>
      <c r="Y247" s="1073"/>
      <c r="Z247" s="1073"/>
      <c r="AA247" s="1073"/>
      <c r="AB247" s="1073"/>
      <c r="AC247" s="1069"/>
      <c r="AD247" s="1069"/>
      <c r="AE247" s="1069"/>
      <c r="AF247" s="1069"/>
      <c r="AG247" s="1068"/>
      <c r="AH247" s="1068">
        <f t="shared" si="18"/>
        <v>0</v>
      </c>
    </row>
    <row r="248" spans="1:35" s="1010" customFormat="1" outlineLevel="4">
      <c r="A248" s="999"/>
      <c r="B248" s="999"/>
      <c r="C248" s="999"/>
      <c r="D248" s="1015">
        <f>+D246+1</f>
        <v>168</v>
      </c>
      <c r="E248" s="1014" t="s">
        <v>1810</v>
      </c>
      <c r="F248" s="988">
        <f>+'[11]7'!$P$200*0.2+'[11]7'!$P$201*0.2</f>
        <v>20988.000019999996</v>
      </c>
      <c r="G248" s="987">
        <f>+F248/$F$332</f>
        <v>4.238229319641993E-3</v>
      </c>
      <c r="H248" s="1070">
        <v>1300</v>
      </c>
      <c r="I248" s="1070">
        <v>1300</v>
      </c>
      <c r="J248" s="1070">
        <v>1330</v>
      </c>
      <c r="K248" s="1070">
        <v>1330</v>
      </c>
      <c r="L248" s="1070">
        <v>1290</v>
      </c>
      <c r="M248" s="1068">
        <v>1340</v>
      </c>
      <c r="N248" s="1068">
        <v>1400</v>
      </c>
      <c r="O248" s="1068">
        <v>1400</v>
      </c>
      <c r="P248" s="1068">
        <v>1490</v>
      </c>
      <c r="Q248" s="1068">
        <v>1490</v>
      </c>
      <c r="R248" s="1068">
        <v>1490</v>
      </c>
      <c r="S248" s="1068">
        <v>1490</v>
      </c>
      <c r="T248" s="1068">
        <v>1490</v>
      </c>
      <c r="U248" s="1073">
        <v>1730</v>
      </c>
      <c r="V248" s="1073">
        <v>1620</v>
      </c>
      <c r="W248" s="1073">
        <v>1560</v>
      </c>
      <c r="X248" s="1073">
        <v>1510</v>
      </c>
      <c r="Y248" s="1073">
        <v>1510</v>
      </c>
      <c r="Z248" s="1073">
        <v>1510</v>
      </c>
      <c r="AA248" s="1073">
        <v>1510</v>
      </c>
      <c r="AB248" s="1073">
        <v>1560</v>
      </c>
      <c r="AC248" s="1069">
        <v>1560</v>
      </c>
      <c r="AD248" s="1069">
        <v>1560</v>
      </c>
      <c r="AE248" s="1069">
        <v>1560</v>
      </c>
      <c r="AF248" s="1069">
        <v>1560</v>
      </c>
      <c r="AG248" s="1068"/>
      <c r="AH248" s="1068">
        <f t="shared" si="18"/>
        <v>0</v>
      </c>
      <c r="AI248" s="1067"/>
    </row>
    <row r="249" spans="1:35" s="1010" customFormat="1" outlineLevel="4">
      <c r="A249" s="999"/>
      <c r="B249" s="999"/>
      <c r="C249" s="999"/>
      <c r="D249" s="1015">
        <f>+D248+1</f>
        <v>169</v>
      </c>
      <c r="E249" s="1014" t="s">
        <v>1809</v>
      </c>
      <c r="F249" s="988">
        <f>+'[11]7'!$P$200*0.35+'[11]7'!$P$201*0.35</f>
        <v>36729.00003499999</v>
      </c>
      <c r="G249" s="987">
        <f>+F249/$F$332</f>
        <v>7.4169013093734878E-3</v>
      </c>
      <c r="H249" s="1051">
        <v>1410</v>
      </c>
      <c r="I249" s="1051">
        <v>1410</v>
      </c>
      <c r="J249" s="1051">
        <v>1410</v>
      </c>
      <c r="K249" s="1051">
        <v>1410</v>
      </c>
      <c r="L249" s="1051">
        <v>1370</v>
      </c>
      <c r="M249" s="1068">
        <v>1460</v>
      </c>
      <c r="N249" s="1068">
        <v>1610</v>
      </c>
      <c r="O249" s="1068">
        <v>1610</v>
      </c>
      <c r="P249" s="1068">
        <v>1700</v>
      </c>
      <c r="Q249" s="1068">
        <v>1700</v>
      </c>
      <c r="R249" s="1068">
        <v>1700</v>
      </c>
      <c r="S249" s="1068">
        <v>1730</v>
      </c>
      <c r="T249" s="1068">
        <v>1730</v>
      </c>
      <c r="U249" s="1073">
        <v>1990</v>
      </c>
      <c r="V249" s="1073">
        <v>1900</v>
      </c>
      <c r="W249" s="1073">
        <v>1840</v>
      </c>
      <c r="X249" s="1073">
        <v>1790</v>
      </c>
      <c r="Y249" s="1073">
        <v>1790</v>
      </c>
      <c r="Z249" s="1073">
        <v>1790</v>
      </c>
      <c r="AA249" s="1073">
        <v>1790</v>
      </c>
      <c r="AB249" s="1073">
        <v>1790</v>
      </c>
      <c r="AC249" s="1069">
        <v>1790</v>
      </c>
      <c r="AD249" s="1069">
        <v>1790</v>
      </c>
      <c r="AE249" s="1069">
        <v>1790</v>
      </c>
      <c r="AF249" s="1069">
        <v>1790</v>
      </c>
      <c r="AG249" s="1068"/>
      <c r="AH249" s="1068">
        <f t="shared" si="18"/>
        <v>0</v>
      </c>
      <c r="AI249" s="1067"/>
    </row>
    <row r="250" spans="1:35" outlineLevel="4">
      <c r="A250" s="999"/>
      <c r="B250" s="999"/>
      <c r="C250" s="999"/>
      <c r="D250" s="1015">
        <f>+D249+1</f>
        <v>170</v>
      </c>
      <c r="E250" s="1014" t="s">
        <v>1808</v>
      </c>
      <c r="F250" s="988">
        <f>+'[11]7'!$P$200*0.45+'[11]7'!$P$201*0.45</f>
        <v>47223.000045000001</v>
      </c>
      <c r="G250" s="987">
        <f>+F250/$F$332</f>
        <v>9.5360159691944869E-3</v>
      </c>
      <c r="H250" s="1070">
        <v>1380</v>
      </c>
      <c r="I250" s="1070">
        <v>1420</v>
      </c>
      <c r="J250" s="1051">
        <v>1540</v>
      </c>
      <c r="K250" s="1070">
        <v>1540</v>
      </c>
      <c r="L250" s="1051">
        <v>1500</v>
      </c>
      <c r="M250" s="1068">
        <v>1560</v>
      </c>
      <c r="N250" s="1068">
        <v>1870</v>
      </c>
      <c r="O250" s="1068">
        <v>1870</v>
      </c>
      <c r="P250" s="1068">
        <v>1870</v>
      </c>
      <c r="Q250" s="1068">
        <v>1770</v>
      </c>
      <c r="R250" s="1068">
        <v>1770</v>
      </c>
      <c r="S250" s="1068">
        <v>1770</v>
      </c>
      <c r="T250" s="1068">
        <v>1770</v>
      </c>
      <c r="U250" s="705">
        <v>2000</v>
      </c>
      <c r="V250" s="705">
        <v>1940</v>
      </c>
      <c r="W250" s="705">
        <v>1900</v>
      </c>
      <c r="X250" s="705">
        <v>1900</v>
      </c>
      <c r="Y250" s="705">
        <v>1840</v>
      </c>
      <c r="Z250" s="705">
        <v>1840</v>
      </c>
      <c r="AA250" s="705">
        <v>1840</v>
      </c>
      <c r="AB250" s="705">
        <v>1840</v>
      </c>
      <c r="AC250" s="1069">
        <v>1840</v>
      </c>
      <c r="AD250" s="1069">
        <v>1840</v>
      </c>
      <c r="AE250" s="1069">
        <v>1840</v>
      </c>
      <c r="AF250" s="1069">
        <v>1840</v>
      </c>
      <c r="AG250" s="1068"/>
      <c r="AH250" s="1068">
        <f t="shared" si="18"/>
        <v>0</v>
      </c>
      <c r="AI250" s="1067"/>
    </row>
    <row r="251" spans="1:35" s="1010" customFormat="1" outlineLevel="3">
      <c r="A251" s="999"/>
      <c r="B251" s="999"/>
      <c r="C251" s="1956" t="s">
        <v>1807</v>
      </c>
      <c r="D251" s="1956"/>
      <c r="E251" s="1956"/>
      <c r="F251" s="998">
        <f>SUM(F252)</f>
        <v>19172.285533999999</v>
      </c>
      <c r="G251" s="997">
        <f>SUM(G252)</f>
        <v>3.871571497870947E-3</v>
      </c>
      <c r="H251" s="1070"/>
      <c r="I251" s="1070"/>
      <c r="J251" s="1070"/>
      <c r="K251" s="1070"/>
      <c r="L251" s="1070"/>
      <c r="M251" s="1068"/>
      <c r="N251" s="1068"/>
      <c r="O251" s="1068"/>
      <c r="P251" s="1068"/>
      <c r="Q251" s="1068"/>
      <c r="R251" s="1068"/>
      <c r="S251" s="1068"/>
      <c r="T251" s="1068"/>
      <c r="U251" s="1073"/>
      <c r="V251" s="1073"/>
      <c r="W251" s="1073"/>
      <c r="X251" s="1073"/>
      <c r="Y251" s="1073"/>
      <c r="Z251" s="1073"/>
      <c r="AA251" s="1073"/>
      <c r="AB251" s="1073"/>
      <c r="AC251" s="1069"/>
      <c r="AD251" s="1069"/>
      <c r="AE251" s="1069"/>
      <c r="AF251" s="1069"/>
      <c r="AG251" s="1068"/>
      <c r="AH251" s="1068">
        <f t="shared" si="18"/>
        <v>0</v>
      </c>
    </row>
    <row r="252" spans="1:35" outlineLevel="4">
      <c r="A252" s="999"/>
      <c r="B252" s="999"/>
      <c r="C252" s="999"/>
      <c r="D252" s="1015">
        <f>+D250+1</f>
        <v>171</v>
      </c>
      <c r="E252" s="1014" t="s">
        <v>1806</v>
      </c>
      <c r="F252" s="988">
        <f>+'[11]7'!$P$197+'[11]7'!$P$203+'[11]7'!$P$205+'[11]7'!$P$202+'[11]7'!$P$204+'[11]7'!$P$206</f>
        <v>19172.285533999999</v>
      </c>
      <c r="G252" s="987">
        <f>+F252/$F$332</f>
        <v>3.871571497870947E-3</v>
      </c>
      <c r="H252" s="1070">
        <v>3000</v>
      </c>
      <c r="I252" s="1070">
        <v>3000</v>
      </c>
      <c r="J252" s="1051">
        <v>3000</v>
      </c>
      <c r="K252" s="1070">
        <v>3000</v>
      </c>
      <c r="L252" s="1051">
        <v>3000</v>
      </c>
      <c r="M252" s="1068">
        <v>3000</v>
      </c>
      <c r="N252" s="1068">
        <v>3000</v>
      </c>
      <c r="O252" s="1068">
        <v>3000</v>
      </c>
      <c r="P252" s="1068">
        <v>3000</v>
      </c>
      <c r="Q252" s="1068">
        <v>3000</v>
      </c>
      <c r="R252" s="1068">
        <v>2800</v>
      </c>
      <c r="S252" s="1068">
        <v>3000</v>
      </c>
      <c r="T252" s="1068">
        <v>3000</v>
      </c>
      <c r="U252" s="700">
        <v>3000</v>
      </c>
      <c r="V252" s="705">
        <v>3000</v>
      </c>
      <c r="W252" s="705">
        <v>3000</v>
      </c>
      <c r="X252" s="705">
        <v>3000</v>
      </c>
      <c r="Y252" s="705">
        <v>3000</v>
      </c>
      <c r="Z252" s="705">
        <v>3000</v>
      </c>
      <c r="AA252" s="705">
        <v>2800</v>
      </c>
      <c r="AB252" s="705">
        <v>2800</v>
      </c>
      <c r="AC252" s="1069">
        <v>2600</v>
      </c>
      <c r="AD252" s="1069">
        <v>2500</v>
      </c>
      <c r="AE252" s="1069">
        <v>2500</v>
      </c>
      <c r="AF252" s="1069">
        <v>2500</v>
      </c>
      <c r="AG252" s="1068"/>
      <c r="AH252" s="1068">
        <f t="shared" si="18"/>
        <v>0</v>
      </c>
      <c r="AI252" s="1067"/>
    </row>
    <row r="253" spans="1:35" outlineLevel="2">
      <c r="A253" s="999"/>
      <c r="B253" s="1028" t="s">
        <v>1805</v>
      </c>
      <c r="C253" s="1028"/>
      <c r="D253" s="1028"/>
      <c r="E253" s="1024"/>
      <c r="F253" s="1020">
        <f>+F254+F256+F260</f>
        <v>132107.28529</v>
      </c>
      <c r="G253" s="1019">
        <f>+G254+G256+G260</f>
        <v>2.6677195031486738E-2</v>
      </c>
      <c r="H253" s="1051"/>
      <c r="I253" s="1051"/>
      <c r="J253" s="1070"/>
      <c r="K253" s="1051"/>
      <c r="L253" s="1070"/>
      <c r="M253" s="1068"/>
      <c r="N253" s="1068"/>
      <c r="O253" s="1068"/>
      <c r="P253" s="1068"/>
      <c r="Q253" s="1068"/>
      <c r="R253" s="1068"/>
      <c r="S253" s="1068"/>
      <c r="T253" s="1068"/>
      <c r="U253" s="705"/>
      <c r="V253" s="705"/>
      <c r="W253" s="705"/>
      <c r="X253" s="705"/>
      <c r="Y253" s="705"/>
      <c r="Z253" s="705"/>
      <c r="AA253" s="705"/>
      <c r="AB253" s="705"/>
      <c r="AC253" s="1069"/>
      <c r="AD253" s="1069"/>
      <c r="AE253" s="1069"/>
      <c r="AF253" s="1069"/>
      <c r="AG253" s="1068"/>
      <c r="AH253" s="1068">
        <f t="shared" si="18"/>
        <v>0</v>
      </c>
    </row>
    <row r="254" spans="1:35" s="1010" customFormat="1" outlineLevel="3">
      <c r="A254" s="999"/>
      <c r="B254" s="999"/>
      <c r="C254" s="1956" t="s">
        <v>1804</v>
      </c>
      <c r="D254" s="1956"/>
      <c r="E254" s="1956"/>
      <c r="F254" s="998">
        <f>SUM(F255)</f>
        <v>4930.4216900000001</v>
      </c>
      <c r="G254" s="997">
        <f>SUM(G255)</f>
        <v>9.9562882336784149E-4</v>
      </c>
      <c r="H254" s="1070"/>
      <c r="I254" s="1070"/>
      <c r="J254" s="1070"/>
      <c r="K254" s="1070"/>
      <c r="L254" s="1070"/>
      <c r="M254" s="1068"/>
      <c r="N254" s="1068"/>
      <c r="O254" s="1068"/>
      <c r="P254" s="1068"/>
      <c r="Q254" s="1068"/>
      <c r="R254" s="1068"/>
      <c r="S254" s="1068"/>
      <c r="T254" s="1068"/>
      <c r="U254" s="1073"/>
      <c r="V254" s="1073"/>
      <c r="W254" s="1073"/>
      <c r="X254" s="1073"/>
      <c r="Y254" s="1073"/>
      <c r="Z254" s="1073"/>
      <c r="AA254" s="1073"/>
      <c r="AB254" s="1073"/>
      <c r="AC254" s="1069"/>
      <c r="AD254" s="1069"/>
      <c r="AE254" s="1069"/>
      <c r="AF254" s="1069"/>
      <c r="AG254" s="1068"/>
      <c r="AH254" s="1068">
        <f t="shared" si="18"/>
        <v>0</v>
      </c>
    </row>
    <row r="255" spans="1:35" outlineLevel="4">
      <c r="A255" s="999"/>
      <c r="B255" s="999"/>
      <c r="C255" s="999"/>
      <c r="D255" s="1017">
        <f>+D252+1</f>
        <v>172</v>
      </c>
      <c r="E255" s="1014" t="s">
        <v>1803</v>
      </c>
      <c r="F255" s="988">
        <f>+'[11]7'!$P$208+'[11]7'!$P$209+'[11]7'!$P$210+600+4000</f>
        <v>4930.4216900000001</v>
      </c>
      <c r="G255" s="987">
        <f>+F255/$F$332</f>
        <v>9.9562882336784149E-4</v>
      </c>
      <c r="H255" s="1051">
        <v>4500</v>
      </c>
      <c r="I255" s="1051">
        <v>4500</v>
      </c>
      <c r="J255" s="1051">
        <v>4500</v>
      </c>
      <c r="K255" s="1051">
        <v>4500</v>
      </c>
      <c r="L255" s="1051">
        <v>4500</v>
      </c>
      <c r="M255" s="1051">
        <v>4500</v>
      </c>
      <c r="N255" s="1051">
        <v>4500</v>
      </c>
      <c r="O255" s="1051">
        <v>4500</v>
      </c>
      <c r="P255" s="1051">
        <v>4500</v>
      </c>
      <c r="Q255" s="1051">
        <v>4500</v>
      </c>
      <c r="R255" s="1051">
        <v>4500</v>
      </c>
      <c r="S255" s="1051">
        <v>4500</v>
      </c>
      <c r="T255" s="1051">
        <v>4500</v>
      </c>
      <c r="U255" s="705">
        <v>4500</v>
      </c>
      <c r="V255" s="705">
        <v>4500</v>
      </c>
      <c r="W255" s="705">
        <v>4500</v>
      </c>
      <c r="X255" s="705">
        <v>4500</v>
      </c>
      <c r="Y255" s="705">
        <v>4500</v>
      </c>
      <c r="Z255" s="705">
        <v>4500</v>
      </c>
      <c r="AA255" s="705">
        <v>4500</v>
      </c>
      <c r="AB255" s="705">
        <v>4500</v>
      </c>
      <c r="AC255" s="1069">
        <v>4500</v>
      </c>
      <c r="AD255" s="1069">
        <v>4500</v>
      </c>
      <c r="AE255" s="1069">
        <v>4500</v>
      </c>
      <c r="AF255" s="1069">
        <v>4500</v>
      </c>
      <c r="AG255" s="1068"/>
      <c r="AH255" s="1068">
        <f t="shared" si="18"/>
        <v>0</v>
      </c>
    </row>
    <row r="256" spans="1:35" s="1010" customFormat="1" outlineLevel="3">
      <c r="A256" s="999"/>
      <c r="B256" s="999"/>
      <c r="C256" s="1956" t="s">
        <v>1802</v>
      </c>
      <c r="D256" s="1956"/>
      <c r="E256" s="1956"/>
      <c r="F256" s="998">
        <f>SUM(F257:F259)</f>
        <v>120929.30429999999</v>
      </c>
      <c r="G256" s="997">
        <f>SUM(G257:G259)</f>
        <v>2.441996010099912E-2</v>
      </c>
      <c r="H256" s="1051"/>
      <c r="I256" s="1051"/>
      <c r="J256" s="1051"/>
      <c r="K256" s="1051"/>
      <c r="L256" s="1051"/>
      <c r="M256" s="1068"/>
      <c r="N256" s="1068"/>
      <c r="O256" s="1068"/>
      <c r="P256" s="1068"/>
      <c r="Q256" s="1068"/>
      <c r="R256" s="1068"/>
      <c r="S256" s="1068"/>
      <c r="T256" s="1068"/>
      <c r="U256" s="1073"/>
      <c r="V256" s="1073"/>
      <c r="W256" s="1073"/>
      <c r="X256" s="1073"/>
      <c r="Y256" s="1073"/>
      <c r="Z256" s="1073"/>
      <c r="AA256" s="1073"/>
      <c r="AB256" s="1073"/>
      <c r="AC256" s="1069"/>
      <c r="AD256" s="1069"/>
      <c r="AE256" s="1069"/>
      <c r="AF256" s="1069"/>
      <c r="AG256" s="1068"/>
      <c r="AH256" s="1068">
        <f t="shared" si="18"/>
        <v>0</v>
      </c>
    </row>
    <row r="257" spans="1:35" s="1010" customFormat="1" outlineLevel="4">
      <c r="A257" s="999"/>
      <c r="B257" s="999"/>
      <c r="C257" s="999"/>
      <c r="D257" s="1015">
        <f>+D255+1</f>
        <v>173</v>
      </c>
      <c r="E257" s="1014" t="s">
        <v>1801</v>
      </c>
      <c r="F257" s="988">
        <f>+'[11]7'!$P$207+'[11]7'!$P$218+'[11]7'!$P$219+'[11]7'!$P$220</f>
        <v>5888.1397000000015</v>
      </c>
      <c r="G257" s="987">
        <f>+F257/$F$332</f>
        <v>1.1890264098964882E-3</v>
      </c>
      <c r="H257" s="1070">
        <v>300</v>
      </c>
      <c r="I257" s="1070">
        <v>300</v>
      </c>
      <c r="J257" s="1070">
        <v>300</v>
      </c>
      <c r="K257" s="1070">
        <v>300</v>
      </c>
      <c r="L257" s="1070">
        <v>300</v>
      </c>
      <c r="M257" s="1068">
        <v>300</v>
      </c>
      <c r="N257" s="1068">
        <v>300</v>
      </c>
      <c r="O257" s="1068">
        <v>400</v>
      </c>
      <c r="P257" s="1068">
        <v>400</v>
      </c>
      <c r="Q257" s="1068">
        <v>400</v>
      </c>
      <c r="R257" s="1068">
        <v>400</v>
      </c>
      <c r="S257" s="1068">
        <v>400</v>
      </c>
      <c r="T257" s="1068">
        <v>400</v>
      </c>
      <c r="U257" s="1073">
        <v>500</v>
      </c>
      <c r="V257" s="1073">
        <v>500</v>
      </c>
      <c r="W257" s="1073">
        <v>500</v>
      </c>
      <c r="X257" s="1073">
        <v>500</v>
      </c>
      <c r="Y257" s="1073">
        <v>500</v>
      </c>
      <c r="Z257" s="1073">
        <v>500</v>
      </c>
      <c r="AA257" s="1073">
        <v>500</v>
      </c>
      <c r="AB257" s="1073">
        <v>500</v>
      </c>
      <c r="AC257" s="1069">
        <v>500</v>
      </c>
      <c r="AD257" s="1069">
        <v>500</v>
      </c>
      <c r="AE257" s="1069">
        <v>500</v>
      </c>
      <c r="AF257" s="1069">
        <v>500</v>
      </c>
      <c r="AG257" s="1068"/>
      <c r="AH257" s="1068">
        <f t="shared" si="18"/>
        <v>0</v>
      </c>
      <c r="AI257" s="1067"/>
    </row>
    <row r="258" spans="1:35" s="1010" customFormat="1" outlineLevel="4">
      <c r="A258" s="999"/>
      <c r="B258" s="999"/>
      <c r="C258" s="999"/>
      <c r="D258" s="1015">
        <f>+D257+1</f>
        <v>174</v>
      </c>
      <c r="E258" s="1014" t="s">
        <v>1800</v>
      </c>
      <c r="F258" s="988">
        <f>+'[11]7'!$P$211-600</f>
        <v>13714.77758</v>
      </c>
      <c r="G258" s="987">
        <f>+F258/$F$332</f>
        <v>2.7695050693984456E-3</v>
      </c>
      <c r="H258" s="1051">
        <v>600</v>
      </c>
      <c r="I258" s="1051">
        <v>600</v>
      </c>
      <c r="J258" s="1051">
        <v>600</v>
      </c>
      <c r="K258" s="1051">
        <v>600</v>
      </c>
      <c r="L258" s="1051">
        <v>600</v>
      </c>
      <c r="M258" s="1068">
        <v>600</v>
      </c>
      <c r="N258" s="1068">
        <v>700</v>
      </c>
      <c r="O258" s="1068">
        <v>700</v>
      </c>
      <c r="P258" s="1068">
        <v>700</v>
      </c>
      <c r="Q258" s="1068">
        <v>700</v>
      </c>
      <c r="R258" s="1068">
        <v>700</v>
      </c>
      <c r="S258" s="1068">
        <v>700</v>
      </c>
      <c r="T258" s="1068">
        <v>700</v>
      </c>
      <c r="U258" s="1073">
        <v>800</v>
      </c>
      <c r="V258" s="1073">
        <v>800</v>
      </c>
      <c r="W258" s="1073">
        <v>800</v>
      </c>
      <c r="X258" s="1073">
        <v>800</v>
      </c>
      <c r="Y258" s="1073">
        <v>800</v>
      </c>
      <c r="Z258" s="1073">
        <v>800</v>
      </c>
      <c r="AA258" s="1073">
        <v>800</v>
      </c>
      <c r="AB258" s="1073">
        <v>800</v>
      </c>
      <c r="AC258" s="1069">
        <v>800</v>
      </c>
      <c r="AD258" s="1069">
        <v>800</v>
      </c>
      <c r="AE258" s="1069">
        <v>800</v>
      </c>
      <c r="AF258" s="1069">
        <v>800</v>
      </c>
      <c r="AG258" s="1068"/>
      <c r="AH258" s="1068">
        <f t="shared" si="18"/>
        <v>0</v>
      </c>
      <c r="AI258" s="1067"/>
    </row>
    <row r="259" spans="1:35" outlineLevel="4">
      <c r="A259" s="999"/>
      <c r="B259" s="999"/>
      <c r="C259" s="999"/>
      <c r="D259" s="1015">
        <f>+D258+1</f>
        <v>175</v>
      </c>
      <c r="E259" s="1014" t="s">
        <v>1799</v>
      </c>
      <c r="F259" s="988">
        <f>+'[11]7'!$P$212+'[11]7'!$P$213+'[11]7'!$P$214-600</f>
        <v>101326.38701999999</v>
      </c>
      <c r="G259" s="987">
        <f>+F259/$F$332</f>
        <v>2.0461428621704185E-2</v>
      </c>
      <c r="H259" s="1070">
        <v>25500</v>
      </c>
      <c r="I259" s="1070">
        <v>25500</v>
      </c>
      <c r="J259" s="1051">
        <v>25500</v>
      </c>
      <c r="K259" s="1070">
        <v>25500</v>
      </c>
      <c r="L259" s="1051">
        <v>25500</v>
      </c>
      <c r="M259" s="1068">
        <v>25500</v>
      </c>
      <c r="N259" s="1068">
        <v>25500</v>
      </c>
      <c r="O259" s="1068">
        <v>27700</v>
      </c>
      <c r="P259" s="1068">
        <v>27700</v>
      </c>
      <c r="Q259" s="1068">
        <v>27700</v>
      </c>
      <c r="R259" s="1068">
        <v>27700</v>
      </c>
      <c r="S259" s="1068">
        <v>27700</v>
      </c>
      <c r="T259" s="1068">
        <v>27700</v>
      </c>
      <c r="U259" s="705">
        <v>27700</v>
      </c>
      <c r="V259" s="705">
        <v>31000</v>
      </c>
      <c r="W259" s="705">
        <v>31000</v>
      </c>
      <c r="X259" s="705">
        <v>31000</v>
      </c>
      <c r="Y259" s="705">
        <v>31000</v>
      </c>
      <c r="Z259" s="705">
        <v>31000</v>
      </c>
      <c r="AA259" s="705">
        <v>31000</v>
      </c>
      <c r="AB259" s="705">
        <v>31000</v>
      </c>
      <c r="AC259" s="1069">
        <v>31000</v>
      </c>
      <c r="AD259" s="1069">
        <v>31000</v>
      </c>
      <c r="AE259" s="1069">
        <v>31000</v>
      </c>
      <c r="AF259" s="1069">
        <v>31000</v>
      </c>
      <c r="AG259" s="1068"/>
      <c r="AH259" s="1068">
        <f t="shared" si="18"/>
        <v>0</v>
      </c>
      <c r="AI259" s="1067"/>
    </row>
    <row r="260" spans="1:35" s="1010" customFormat="1" outlineLevel="3">
      <c r="A260" s="999"/>
      <c r="B260" s="999"/>
      <c r="C260" s="1956" t="s">
        <v>1798</v>
      </c>
      <c r="D260" s="1956"/>
      <c r="E260" s="1956"/>
      <c r="F260" s="998">
        <f>SUM(F261)</f>
        <v>6247.5592999999999</v>
      </c>
      <c r="G260" s="997">
        <f>SUM(G261)</f>
        <v>1.2616061071197776E-3</v>
      </c>
      <c r="H260" s="1070"/>
      <c r="I260" s="1070"/>
      <c r="J260" s="1070"/>
      <c r="K260" s="1070"/>
      <c r="L260" s="1070"/>
      <c r="M260" s="1068"/>
      <c r="N260" s="1068"/>
      <c r="O260" s="1068"/>
      <c r="P260" s="1068"/>
      <c r="Q260" s="1068"/>
      <c r="R260" s="1068"/>
      <c r="S260" s="1068"/>
      <c r="T260" s="1068"/>
      <c r="U260" s="1073"/>
      <c r="V260" s="1073"/>
      <c r="W260" s="1073"/>
      <c r="X260" s="1073"/>
      <c r="Y260" s="1073"/>
      <c r="Z260" s="1073"/>
      <c r="AA260" s="1073"/>
      <c r="AB260" s="1073"/>
      <c r="AC260" s="1069"/>
      <c r="AD260" s="1069"/>
      <c r="AE260" s="1069"/>
      <c r="AF260" s="1069"/>
      <c r="AG260" s="1068"/>
      <c r="AH260" s="1068">
        <f t="shared" si="18"/>
        <v>0</v>
      </c>
    </row>
    <row r="261" spans="1:35" outlineLevel="4">
      <c r="A261" s="999"/>
      <c r="B261" s="999"/>
      <c r="C261" s="999"/>
      <c r="D261" s="1017">
        <f>+D259+1</f>
        <v>176</v>
      </c>
      <c r="E261" s="1014" t="s">
        <v>1797</v>
      </c>
      <c r="F261" s="988">
        <f>+'[11]7'!$P$215+'[11]7'!$P$216+'[11]7'!$P$217+600+5000</f>
        <v>6247.5592999999999</v>
      </c>
      <c r="G261" s="987">
        <f>+F261/$F$332</f>
        <v>1.2616061071197776E-3</v>
      </c>
      <c r="H261" s="1070">
        <v>169700</v>
      </c>
      <c r="I261" s="1070">
        <v>169700</v>
      </c>
      <c r="J261" s="1051">
        <v>169700</v>
      </c>
      <c r="K261" s="1070">
        <v>169700</v>
      </c>
      <c r="L261" s="1051">
        <v>169700</v>
      </c>
      <c r="M261" s="1068">
        <v>169700</v>
      </c>
      <c r="N261" s="1068">
        <v>169700</v>
      </c>
      <c r="O261" s="1068">
        <v>174800</v>
      </c>
      <c r="P261" s="1068">
        <v>174800</v>
      </c>
      <c r="Q261" s="1068">
        <v>174800</v>
      </c>
      <c r="R261" s="1068">
        <v>174800</v>
      </c>
      <c r="S261" s="1068">
        <v>174800</v>
      </c>
      <c r="T261" s="1068">
        <v>174800</v>
      </c>
      <c r="U261" s="700">
        <v>183500</v>
      </c>
      <c r="V261" s="705">
        <v>183500</v>
      </c>
      <c r="W261" s="705">
        <v>183500</v>
      </c>
      <c r="X261" s="705">
        <v>183500</v>
      </c>
      <c r="Y261" s="705">
        <v>183500</v>
      </c>
      <c r="Z261" s="705">
        <v>183500</v>
      </c>
      <c r="AA261" s="705">
        <v>183500</v>
      </c>
      <c r="AB261" s="873">
        <v>144600</v>
      </c>
      <c r="AC261" s="1069">
        <v>144600</v>
      </c>
      <c r="AD261" s="1069">
        <v>144600</v>
      </c>
      <c r="AE261" s="1069">
        <v>144600</v>
      </c>
      <c r="AF261" s="1069">
        <v>144600</v>
      </c>
      <c r="AG261" s="1068"/>
      <c r="AH261" s="1068">
        <f t="shared" si="18"/>
        <v>0</v>
      </c>
      <c r="AI261" s="1067"/>
    </row>
    <row r="262" spans="1:35" outlineLevel="1">
      <c r="A262" s="1954" t="s">
        <v>1796</v>
      </c>
      <c r="B262" s="1954"/>
      <c r="C262" s="1954"/>
      <c r="D262" s="1954"/>
      <c r="E262" s="1954"/>
      <c r="F262" s="1023">
        <f>+F263</f>
        <v>274022.11686999997</v>
      </c>
      <c r="G262" s="1022">
        <f>+G263</f>
        <v>5.5334885117309954E-2</v>
      </c>
      <c r="H262" s="1051"/>
      <c r="I262" s="1051"/>
      <c r="J262" s="1070"/>
      <c r="K262" s="1051"/>
      <c r="L262" s="1070"/>
      <c r="M262" s="1068"/>
      <c r="N262" s="1068"/>
      <c r="O262" s="1068"/>
      <c r="P262" s="1068"/>
      <c r="Q262" s="1068"/>
      <c r="R262" s="1068"/>
      <c r="S262" s="1068"/>
      <c r="T262" s="1068"/>
      <c r="U262" s="705"/>
      <c r="V262" s="705"/>
      <c r="W262" s="705"/>
      <c r="X262" s="705"/>
      <c r="Y262" s="705"/>
      <c r="Z262" s="705"/>
      <c r="AA262" s="705"/>
      <c r="AB262" s="705"/>
      <c r="AC262" s="1069"/>
      <c r="AD262" s="1069"/>
      <c r="AE262" s="1069"/>
      <c r="AF262" s="1069"/>
      <c r="AG262" s="1068"/>
      <c r="AH262" s="1068">
        <f t="shared" si="18"/>
        <v>0</v>
      </c>
    </row>
    <row r="263" spans="1:35" outlineLevel="2">
      <c r="A263" s="999"/>
      <c r="B263" s="1955" t="s">
        <v>1795</v>
      </c>
      <c r="C263" s="1955"/>
      <c r="D263" s="1955"/>
      <c r="E263" s="1955"/>
      <c r="F263" s="1020">
        <f>+F264</f>
        <v>274022.11686999997</v>
      </c>
      <c r="G263" s="1019">
        <f>+G264</f>
        <v>5.5334885117309954E-2</v>
      </c>
      <c r="H263" s="1070"/>
      <c r="I263" s="1070"/>
      <c r="J263" s="1070"/>
      <c r="K263" s="1070"/>
      <c r="L263" s="1070"/>
      <c r="M263" s="1068"/>
      <c r="N263" s="1068"/>
      <c r="O263" s="1068"/>
      <c r="P263" s="1068"/>
      <c r="Q263" s="1068"/>
      <c r="R263" s="1068"/>
      <c r="S263" s="1068"/>
      <c r="T263" s="1068"/>
      <c r="U263" s="705"/>
      <c r="V263" s="705"/>
      <c r="W263" s="705"/>
      <c r="X263" s="705"/>
      <c r="Y263" s="705"/>
      <c r="Z263" s="705"/>
      <c r="AA263" s="705"/>
      <c r="AB263" s="705"/>
      <c r="AC263" s="1069"/>
      <c r="AD263" s="1069"/>
      <c r="AE263" s="1069"/>
      <c r="AF263" s="1069"/>
      <c r="AG263" s="1068"/>
      <c r="AH263" s="1068">
        <f t="shared" si="18"/>
        <v>0</v>
      </c>
    </row>
    <row r="264" spans="1:35" s="1010" customFormat="1" outlineLevel="3">
      <c r="A264" s="999"/>
      <c r="B264" s="999"/>
      <c r="C264" s="1956" t="s">
        <v>1794</v>
      </c>
      <c r="D264" s="1956"/>
      <c r="E264" s="1956"/>
      <c r="F264" s="998">
        <f>SUM(F265:F269)</f>
        <v>274022.11686999997</v>
      </c>
      <c r="G264" s="997">
        <f>SUM(G265:G269)</f>
        <v>5.5334885117309954E-2</v>
      </c>
      <c r="H264" s="1051"/>
      <c r="I264" s="1051"/>
      <c r="J264" s="1070"/>
      <c r="K264" s="1051"/>
      <c r="L264" s="1070"/>
      <c r="M264" s="1068"/>
      <c r="N264" s="1068"/>
      <c r="O264" s="1068"/>
      <c r="P264" s="1068"/>
      <c r="Q264" s="1068"/>
      <c r="R264" s="1068"/>
      <c r="S264" s="1068"/>
      <c r="T264" s="1068"/>
      <c r="U264" s="1073"/>
      <c r="V264" s="1073"/>
      <c r="W264" s="1073"/>
      <c r="X264" s="1073"/>
      <c r="Y264" s="1073"/>
      <c r="Z264" s="1073"/>
      <c r="AA264" s="1073"/>
      <c r="AB264" s="1073"/>
      <c r="AC264" s="1069"/>
      <c r="AD264" s="1069"/>
      <c r="AE264" s="1069"/>
      <c r="AF264" s="1069"/>
      <c r="AG264" s="1068"/>
      <c r="AH264" s="1068">
        <f t="shared" ref="AH264:AH331" si="21">+AF264-AE264</f>
        <v>0</v>
      </c>
    </row>
    <row r="265" spans="1:35" s="1010" customFormat="1" outlineLevel="4">
      <c r="A265" s="999"/>
      <c r="B265" s="999"/>
      <c r="C265" s="999"/>
      <c r="D265" s="1017">
        <f>D261+1</f>
        <v>177</v>
      </c>
      <c r="E265" s="1014" t="s">
        <v>1793</v>
      </c>
      <c r="F265" s="988">
        <f>+'[11]7'!$P$224+'[11]7'!$P$225+'[11]7'!$P$226+'[11]7'!$P$227+'[11]7'!$P$229+'[11]7'!$P$230+'[11]7'!$P$231</f>
        <v>6460.8294699999997</v>
      </c>
      <c r="G265" s="987">
        <f>+F265/$F$332</f>
        <v>1.3046729970872682E-3</v>
      </c>
      <c r="H265" s="1077">
        <v>20</v>
      </c>
      <c r="I265" s="1077">
        <v>20</v>
      </c>
      <c r="J265" s="1077">
        <v>20</v>
      </c>
      <c r="K265" s="1077">
        <v>20</v>
      </c>
      <c r="L265" s="1077">
        <v>20</v>
      </c>
      <c r="M265" s="1077">
        <v>20</v>
      </c>
      <c r="N265" s="1077">
        <v>20</v>
      </c>
      <c r="O265" s="1077">
        <v>20</v>
      </c>
      <c r="P265" s="1077">
        <v>20</v>
      </c>
      <c r="Q265" s="1077">
        <v>20</v>
      </c>
      <c r="R265" s="1077">
        <v>20</v>
      </c>
      <c r="S265" s="1077">
        <v>20</v>
      </c>
      <c r="T265" s="1077">
        <v>20</v>
      </c>
      <c r="U265" s="1077">
        <v>20</v>
      </c>
      <c r="V265" s="1073">
        <v>20</v>
      </c>
      <c r="W265" s="1073">
        <v>20</v>
      </c>
      <c r="X265" s="1073">
        <v>20</v>
      </c>
      <c r="Y265" s="1073">
        <v>20</v>
      </c>
      <c r="Z265" s="1073">
        <v>20</v>
      </c>
      <c r="AA265" s="1073">
        <v>20</v>
      </c>
      <c r="AB265" s="1073">
        <v>20</v>
      </c>
      <c r="AC265" s="1069">
        <v>20</v>
      </c>
      <c r="AD265" s="1069">
        <v>20</v>
      </c>
      <c r="AE265" s="1069">
        <v>20</v>
      </c>
      <c r="AF265" s="1069">
        <v>20</v>
      </c>
      <c r="AG265" s="1068"/>
      <c r="AH265" s="1068">
        <f t="shared" si="21"/>
        <v>0</v>
      </c>
    </row>
    <row r="266" spans="1:35" s="1010" customFormat="1" ht="25.5" outlineLevel="4">
      <c r="A266" s="999"/>
      <c r="B266" s="999"/>
      <c r="C266" s="999"/>
      <c r="D266" s="1017">
        <f>+D265+1</f>
        <v>178</v>
      </c>
      <c r="E266" s="1014" t="s">
        <v>1792</v>
      </c>
      <c r="F266" s="988">
        <f>+('[11]7'!$P$228+'[11]7'!$P$232)*0.75</f>
        <v>147787.18634999997</v>
      </c>
      <c r="G266" s="987">
        <f>+F266/$F$332</f>
        <v>2.984352895269175E-2</v>
      </c>
      <c r="H266" s="1068">
        <v>70</v>
      </c>
      <c r="I266" s="1068">
        <v>70</v>
      </c>
      <c r="J266" s="1068">
        <v>70</v>
      </c>
      <c r="K266" s="1068">
        <v>70</v>
      </c>
      <c r="L266" s="1068">
        <v>70</v>
      </c>
      <c r="M266" s="1068">
        <v>70</v>
      </c>
      <c r="N266" s="1068">
        <v>70</v>
      </c>
      <c r="O266" s="1068">
        <v>70</v>
      </c>
      <c r="P266" s="1068">
        <v>70</v>
      </c>
      <c r="Q266" s="1068">
        <v>70</v>
      </c>
      <c r="R266" s="1068">
        <v>70</v>
      </c>
      <c r="S266" s="1068">
        <v>70</v>
      </c>
      <c r="T266" s="1068">
        <v>70</v>
      </c>
      <c r="U266" s="1068">
        <v>70</v>
      </c>
      <c r="V266" s="1075">
        <v>70</v>
      </c>
      <c r="W266" s="1075">
        <v>70</v>
      </c>
      <c r="X266" s="1075">
        <v>70</v>
      </c>
      <c r="Y266" s="1075">
        <v>70</v>
      </c>
      <c r="Z266" s="1075">
        <v>70</v>
      </c>
      <c r="AA266" s="1075">
        <v>70</v>
      </c>
      <c r="AB266" s="1075">
        <v>70</v>
      </c>
      <c r="AC266" s="1069">
        <v>70</v>
      </c>
      <c r="AD266" s="1069">
        <v>70</v>
      </c>
      <c r="AE266" s="1069">
        <v>70</v>
      </c>
      <c r="AF266" s="1069">
        <v>70</v>
      </c>
      <c r="AG266" s="1068"/>
      <c r="AH266" s="1068">
        <f t="shared" si="21"/>
        <v>0</v>
      </c>
    </row>
    <row r="267" spans="1:35" s="1010" customFormat="1" ht="25.5" outlineLevel="4">
      <c r="A267" s="999"/>
      <c r="B267" s="999"/>
      <c r="C267" s="999"/>
      <c r="D267" s="1017">
        <f>+D266+1</f>
        <v>179</v>
      </c>
      <c r="E267" s="1014" t="s">
        <v>1791</v>
      </c>
      <c r="F267" s="988">
        <f>+('[11]7'!$P$228+'[11]7'!$P$232)*0.25</f>
        <v>49262.395449999996</v>
      </c>
      <c r="G267" s="987">
        <f>+F267/$F$332</f>
        <v>9.9478429842305843E-3</v>
      </c>
      <c r="H267" s="1070">
        <v>33</v>
      </c>
      <c r="I267" s="1070">
        <v>33</v>
      </c>
      <c r="J267" s="1070">
        <v>33</v>
      </c>
      <c r="K267" s="1070">
        <v>33</v>
      </c>
      <c r="L267" s="1070">
        <v>33</v>
      </c>
      <c r="M267" s="1070">
        <v>33</v>
      </c>
      <c r="N267" s="1070">
        <v>33</v>
      </c>
      <c r="O267" s="1070">
        <v>33</v>
      </c>
      <c r="P267" s="1070">
        <v>33</v>
      </c>
      <c r="Q267" s="1070">
        <v>33</v>
      </c>
      <c r="R267" s="1070">
        <v>33</v>
      </c>
      <c r="S267" s="1070">
        <v>33</v>
      </c>
      <c r="T267" s="1070">
        <v>33</v>
      </c>
      <c r="U267" s="1076">
        <v>33</v>
      </c>
      <c r="V267" s="1075">
        <v>33</v>
      </c>
      <c r="W267" s="1075">
        <v>33</v>
      </c>
      <c r="X267" s="1075">
        <v>33</v>
      </c>
      <c r="Y267" s="1075">
        <v>33</v>
      </c>
      <c r="Z267" s="1075">
        <v>33</v>
      </c>
      <c r="AA267" s="1075">
        <v>33</v>
      </c>
      <c r="AB267" s="1075">
        <v>33</v>
      </c>
      <c r="AC267" s="1069">
        <v>33</v>
      </c>
      <c r="AD267" s="1069">
        <v>33</v>
      </c>
      <c r="AE267" s="1069">
        <v>33</v>
      </c>
      <c r="AF267" s="1069">
        <v>33</v>
      </c>
      <c r="AG267" s="1068"/>
      <c r="AH267" s="1068">
        <f t="shared" si="21"/>
        <v>0</v>
      </c>
    </row>
    <row r="268" spans="1:35" s="1010" customFormat="1" outlineLevel="4">
      <c r="A268" s="999"/>
      <c r="B268" s="999"/>
      <c r="C268" s="999"/>
      <c r="D268" s="1017">
        <f>+D267+1</f>
        <v>180</v>
      </c>
      <c r="E268" s="1012" t="s">
        <v>1790</v>
      </c>
      <c r="F268" s="988">
        <f>+'[11]7'!$P$233+'[11]7'!$P$221+'[11]7'!$P$222+4000</f>
        <v>5295.5249999999996</v>
      </c>
      <c r="G268" s="987">
        <f>+F268/$F$332</f>
        <v>1.0693562653187557E-3</v>
      </c>
      <c r="H268" s="1070">
        <v>500</v>
      </c>
      <c r="I268" s="1070">
        <v>500</v>
      </c>
      <c r="J268" s="1051">
        <v>500</v>
      </c>
      <c r="K268" s="1070">
        <v>500</v>
      </c>
      <c r="L268" s="1051">
        <v>500</v>
      </c>
      <c r="M268" s="1068">
        <v>500</v>
      </c>
      <c r="N268" s="1068">
        <v>500</v>
      </c>
      <c r="O268" s="1068">
        <v>500</v>
      </c>
      <c r="P268" s="1068">
        <v>500</v>
      </c>
      <c r="Q268" s="1068">
        <v>500</v>
      </c>
      <c r="R268" s="1068">
        <v>500</v>
      </c>
      <c r="S268" s="1068">
        <v>500</v>
      </c>
      <c r="T268" s="1068">
        <v>500</v>
      </c>
      <c r="U268" s="1073">
        <v>600</v>
      </c>
      <c r="V268" s="1073">
        <v>600</v>
      </c>
      <c r="W268" s="1073">
        <v>600</v>
      </c>
      <c r="X268" s="1073">
        <v>600</v>
      </c>
      <c r="Y268" s="1073">
        <v>600</v>
      </c>
      <c r="Z268" s="1073">
        <v>600</v>
      </c>
      <c r="AA268" s="1073">
        <v>600</v>
      </c>
      <c r="AB268" s="1073">
        <v>600</v>
      </c>
      <c r="AC268" s="1069">
        <v>600</v>
      </c>
      <c r="AD268" s="1069">
        <v>600</v>
      </c>
      <c r="AE268" s="1069">
        <v>600</v>
      </c>
      <c r="AF268" s="1069">
        <v>600</v>
      </c>
      <c r="AG268" s="1068"/>
      <c r="AH268" s="1068">
        <f t="shared" si="21"/>
        <v>0</v>
      </c>
    </row>
    <row r="269" spans="1:35" outlineLevel="4">
      <c r="A269" s="999"/>
      <c r="B269" s="999"/>
      <c r="C269" s="999"/>
      <c r="D269" s="1017">
        <f>+D268+1</f>
        <v>181</v>
      </c>
      <c r="E269" s="1012" t="s">
        <v>1789</v>
      </c>
      <c r="F269" s="988">
        <f>+'[11]7'!$P$223</f>
        <v>65216.180600000007</v>
      </c>
      <c r="G269" s="987">
        <f>+F269/$F$332</f>
        <v>1.3169483917981598E-2</v>
      </c>
      <c r="H269" s="1070">
        <v>140000</v>
      </c>
      <c r="I269" s="1070">
        <v>140000</v>
      </c>
      <c r="J269" s="1051">
        <v>140000</v>
      </c>
      <c r="K269" s="1070">
        <v>140000</v>
      </c>
      <c r="L269" s="1051">
        <v>140000</v>
      </c>
      <c r="M269" s="1068">
        <v>140000</v>
      </c>
      <c r="N269" s="1068">
        <v>140000</v>
      </c>
      <c r="O269" s="1068">
        <v>140000</v>
      </c>
      <c r="P269" s="1068">
        <v>140000</v>
      </c>
      <c r="Q269" s="1068">
        <v>140000</v>
      </c>
      <c r="R269" s="1068">
        <v>140000</v>
      </c>
      <c r="S269" s="1068">
        <v>140000</v>
      </c>
      <c r="T269" s="1068">
        <v>140000</v>
      </c>
      <c r="U269" s="705">
        <v>130000</v>
      </c>
      <c r="V269" s="705">
        <v>120000</v>
      </c>
      <c r="W269" s="705">
        <v>120000</v>
      </c>
      <c r="X269" s="705">
        <v>125000</v>
      </c>
      <c r="Y269" s="705">
        <v>120000</v>
      </c>
      <c r="Z269" s="705">
        <v>110000</v>
      </c>
      <c r="AA269" s="705">
        <v>100000</v>
      </c>
      <c r="AB269" s="705">
        <v>100000</v>
      </c>
      <c r="AC269" s="1069">
        <v>100000</v>
      </c>
      <c r="AD269" s="1069">
        <v>100000</v>
      </c>
      <c r="AE269" s="1069">
        <v>100000</v>
      </c>
      <c r="AF269" s="1069">
        <v>100000</v>
      </c>
      <c r="AG269" s="1068"/>
      <c r="AH269" s="1068">
        <f t="shared" si="21"/>
        <v>0</v>
      </c>
    </row>
    <row r="270" spans="1:35" ht="14.25" customHeight="1" outlineLevel="1">
      <c r="A270" s="1954" t="s">
        <v>1788</v>
      </c>
      <c r="B270" s="1954"/>
      <c r="C270" s="1954"/>
      <c r="D270" s="1954"/>
      <c r="E270" s="1954"/>
      <c r="F270" s="1023">
        <f>+F271+F279+F286</f>
        <v>101568.616859</v>
      </c>
      <c r="G270" s="1022">
        <f>+G271+G279+G286</f>
        <v>2.0510343506627171E-2</v>
      </c>
      <c r="H270" s="1070"/>
      <c r="I270" s="1070"/>
      <c r="J270" s="1070"/>
      <c r="K270" s="1070"/>
      <c r="L270" s="1070"/>
      <c r="M270" s="1068"/>
      <c r="N270" s="1068"/>
      <c r="O270" s="1068"/>
      <c r="P270" s="1068"/>
      <c r="Q270" s="1068"/>
      <c r="R270" s="1068"/>
      <c r="S270" s="1068"/>
      <c r="T270" s="1068"/>
      <c r="U270" s="705"/>
      <c r="V270" s="705"/>
      <c r="W270" s="705"/>
      <c r="X270" s="705"/>
      <c r="Y270" s="705"/>
      <c r="Z270" s="705"/>
      <c r="AA270" s="705"/>
      <c r="AB270" s="705"/>
      <c r="AC270" s="1069"/>
      <c r="AD270" s="1069"/>
      <c r="AE270" s="1069"/>
      <c r="AF270" s="1069"/>
      <c r="AG270" s="1068"/>
      <c r="AH270" s="1068">
        <f t="shared" si="21"/>
        <v>0</v>
      </c>
    </row>
    <row r="271" spans="1:35" ht="14.25" customHeight="1" outlineLevel="2">
      <c r="A271" s="999"/>
      <c r="B271" s="1958" t="s">
        <v>1787</v>
      </c>
      <c r="C271" s="1958"/>
      <c r="D271" s="1958"/>
      <c r="E271" s="1958"/>
      <c r="F271" s="1020">
        <f>+F272+F276</f>
        <v>19803.365400000002</v>
      </c>
      <c r="G271" s="1019">
        <f>+G272+G276</f>
        <v>3.9990091378827725E-3</v>
      </c>
      <c r="H271" s="1070"/>
      <c r="I271" s="1070"/>
      <c r="J271" s="1070"/>
      <c r="K271" s="1070"/>
      <c r="L271" s="1070"/>
      <c r="M271" s="1068"/>
      <c r="N271" s="1068"/>
      <c r="O271" s="1068"/>
      <c r="P271" s="1068"/>
      <c r="Q271" s="1068"/>
      <c r="R271" s="1068"/>
      <c r="S271" s="1068"/>
      <c r="T271" s="1068"/>
      <c r="U271" s="705"/>
      <c r="V271" s="705"/>
      <c r="W271" s="705"/>
      <c r="X271" s="705"/>
      <c r="Y271" s="705"/>
      <c r="Z271" s="705"/>
      <c r="AA271" s="705"/>
      <c r="AB271" s="705"/>
      <c r="AC271" s="1069"/>
      <c r="AD271" s="1069"/>
      <c r="AE271" s="1069"/>
      <c r="AF271" s="1069"/>
      <c r="AG271" s="1068"/>
      <c r="AH271" s="1068">
        <f t="shared" si="21"/>
        <v>0</v>
      </c>
    </row>
    <row r="272" spans="1:35" s="1010" customFormat="1" ht="14.25" customHeight="1" outlineLevel="3">
      <c r="A272" s="999"/>
      <c r="B272" s="999"/>
      <c r="C272" s="1957" t="s">
        <v>1786</v>
      </c>
      <c r="D272" s="1957"/>
      <c r="E272" s="1957"/>
      <c r="F272" s="998">
        <f>SUM(F273:F275)</f>
        <v>18066.403049</v>
      </c>
      <c r="G272" s="997">
        <f>SUM(G273:G275)</f>
        <v>3.6482541942908439E-3</v>
      </c>
      <c r="H272" s="1051"/>
      <c r="I272" s="1051"/>
      <c r="J272" s="1070"/>
      <c r="K272" s="1051"/>
      <c r="L272" s="1070"/>
      <c r="M272" s="1068"/>
      <c r="N272" s="1068"/>
      <c r="O272" s="1068"/>
      <c r="P272" s="1068"/>
      <c r="Q272" s="1068"/>
      <c r="R272" s="1068"/>
      <c r="S272" s="1068"/>
      <c r="T272" s="1068"/>
      <c r="U272" s="1073"/>
      <c r="V272" s="1073"/>
      <c r="W272" s="1073"/>
      <c r="X272" s="1073"/>
      <c r="Y272" s="1073"/>
      <c r="Z272" s="1073"/>
      <c r="AA272" s="1073"/>
      <c r="AB272" s="1073"/>
      <c r="AC272" s="1069"/>
      <c r="AD272" s="1069"/>
      <c r="AE272" s="1069"/>
      <c r="AF272" s="1069"/>
      <c r="AG272" s="1068"/>
      <c r="AH272" s="1068">
        <f t="shared" si="21"/>
        <v>0</v>
      </c>
    </row>
    <row r="273" spans="1:35" s="1010" customFormat="1" outlineLevel="4">
      <c r="A273" s="999"/>
      <c r="B273" s="999"/>
      <c r="C273" s="999"/>
      <c r="D273" s="1017">
        <f>+D269+1</f>
        <v>182</v>
      </c>
      <c r="E273" s="1014" t="s">
        <v>1785</v>
      </c>
      <c r="F273" s="988">
        <f>SUM('[11]7'!$P$235:$P$236)</f>
        <v>6430.5034999999998</v>
      </c>
      <c r="G273" s="987">
        <f>+F273/$F$332</f>
        <v>1.2985490969977835E-3</v>
      </c>
      <c r="H273" s="1051">
        <v>170000</v>
      </c>
      <c r="I273" s="1051">
        <v>180000</v>
      </c>
      <c r="J273" s="1070">
        <v>185000</v>
      </c>
      <c r="K273" s="1051">
        <v>185000</v>
      </c>
      <c r="L273" s="1070">
        <v>175000</v>
      </c>
      <c r="M273" s="1068">
        <v>175000</v>
      </c>
      <c r="N273" s="1068">
        <v>175000</v>
      </c>
      <c r="O273" s="1068">
        <v>180000</v>
      </c>
      <c r="P273" s="1068">
        <v>180000</v>
      </c>
      <c r="Q273" s="1068">
        <v>180000</v>
      </c>
      <c r="R273" s="1068">
        <v>180000</v>
      </c>
      <c r="S273" s="1068">
        <v>180000</v>
      </c>
      <c r="T273" s="1068">
        <v>180000</v>
      </c>
      <c r="U273" s="1073">
        <v>180000</v>
      </c>
      <c r="V273" s="1073">
        <v>190000</v>
      </c>
      <c r="W273" s="1073">
        <v>200000</v>
      </c>
      <c r="X273" s="1073">
        <v>200000</v>
      </c>
      <c r="Y273" s="1073">
        <v>200000</v>
      </c>
      <c r="Z273" s="1073">
        <v>200000</v>
      </c>
      <c r="AA273" s="1073">
        <v>200000</v>
      </c>
      <c r="AB273" s="1073">
        <v>200000</v>
      </c>
      <c r="AC273" s="1069">
        <v>200000</v>
      </c>
      <c r="AD273" s="1069">
        <v>200000</v>
      </c>
      <c r="AE273" s="1069">
        <v>200000</v>
      </c>
      <c r="AF273" s="1069">
        <v>200000</v>
      </c>
      <c r="AG273" s="1068"/>
      <c r="AH273" s="1068">
        <f t="shared" si="21"/>
        <v>0</v>
      </c>
      <c r="AI273" s="1067"/>
    </row>
    <row r="274" spans="1:35" s="1010" customFormat="1" outlineLevel="4">
      <c r="A274" s="999"/>
      <c r="B274" s="999"/>
      <c r="C274" s="999"/>
      <c r="D274" s="1017">
        <f>+D273+1</f>
        <v>183</v>
      </c>
      <c r="E274" s="1014" t="s">
        <v>1784</v>
      </c>
      <c r="F274" s="988">
        <f>+'[11]7'!$P$239+'[13]7'!$P$240</f>
        <v>1061.8129999999999</v>
      </c>
      <c r="G274" s="987">
        <f>+F274/$F$332</f>
        <v>2.1441809530630182E-4</v>
      </c>
      <c r="H274" s="1051">
        <v>45000</v>
      </c>
      <c r="I274" s="1051">
        <v>45000</v>
      </c>
      <c r="J274" s="1070">
        <v>46000</v>
      </c>
      <c r="K274" s="1051">
        <v>46000</v>
      </c>
      <c r="L274" s="1070">
        <v>46000</v>
      </c>
      <c r="M274" s="1068">
        <v>46000</v>
      </c>
      <c r="N274" s="1068">
        <v>46000</v>
      </c>
      <c r="O274" s="1068">
        <v>46000</v>
      </c>
      <c r="P274" s="1068">
        <v>46000</v>
      </c>
      <c r="Q274" s="1068">
        <v>46000</v>
      </c>
      <c r="R274" s="1068">
        <v>46000</v>
      </c>
      <c r="S274" s="1068">
        <v>46000</v>
      </c>
      <c r="T274" s="1068">
        <v>46000</v>
      </c>
      <c r="U274" s="1073">
        <v>46000</v>
      </c>
      <c r="V274" s="1073">
        <v>46000</v>
      </c>
      <c r="W274" s="1073">
        <v>46000</v>
      </c>
      <c r="X274" s="1073">
        <v>46000</v>
      </c>
      <c r="Y274" s="1073">
        <v>46000</v>
      </c>
      <c r="Z274" s="1073">
        <v>46000</v>
      </c>
      <c r="AA274" s="1073">
        <v>45000</v>
      </c>
      <c r="AB274" s="1073">
        <v>45000</v>
      </c>
      <c r="AC274" s="1069">
        <v>45000</v>
      </c>
      <c r="AD274" s="1069">
        <v>45000</v>
      </c>
      <c r="AE274" s="1069">
        <v>45000</v>
      </c>
      <c r="AF274" s="1069">
        <v>45000</v>
      </c>
      <c r="AG274" s="1068"/>
      <c r="AH274" s="1068">
        <f t="shared" si="21"/>
        <v>0</v>
      </c>
      <c r="AI274" s="1067"/>
    </row>
    <row r="275" spans="1:35" outlineLevel="4">
      <c r="A275" s="999"/>
      <c r="B275" s="999"/>
      <c r="C275" s="999"/>
      <c r="D275" s="1017">
        <f>+D274+1</f>
        <v>184</v>
      </c>
      <c r="E275" s="1014" t="s">
        <v>1783</v>
      </c>
      <c r="F275" s="988">
        <f>+SUM('[13]7'!$P$237:$P$238,'[13]7'!$P$241:$P$244,)*0.9-500</f>
        <v>10574.086549</v>
      </c>
      <c r="G275" s="987">
        <f>+F275/$F$332</f>
        <v>2.1352870019867589E-3</v>
      </c>
      <c r="H275" s="1070">
        <v>35000</v>
      </c>
      <c r="I275" s="1070">
        <v>35000</v>
      </c>
      <c r="J275" s="1051">
        <v>35000</v>
      </c>
      <c r="K275" s="1070">
        <v>35000</v>
      </c>
      <c r="L275" s="1051">
        <v>35000</v>
      </c>
      <c r="M275" s="1068">
        <v>35000</v>
      </c>
      <c r="N275" s="1068">
        <v>35000</v>
      </c>
      <c r="O275" s="1068">
        <v>35000</v>
      </c>
      <c r="P275" s="1068">
        <v>35000</v>
      </c>
      <c r="Q275" s="1068">
        <v>35000</v>
      </c>
      <c r="R275" s="1068">
        <v>35000</v>
      </c>
      <c r="S275" s="1068">
        <v>35000</v>
      </c>
      <c r="T275" s="1068">
        <v>35000</v>
      </c>
      <c r="U275" s="705">
        <v>35000</v>
      </c>
      <c r="V275" s="705">
        <v>35000</v>
      </c>
      <c r="W275" s="705">
        <v>35000</v>
      </c>
      <c r="X275" s="705">
        <v>32000</v>
      </c>
      <c r="Y275" s="705">
        <v>32000</v>
      </c>
      <c r="Z275" s="705">
        <v>30000</v>
      </c>
      <c r="AA275" s="705">
        <v>30000</v>
      </c>
      <c r="AB275" s="705">
        <v>30000</v>
      </c>
      <c r="AC275" s="1069">
        <v>30000</v>
      </c>
      <c r="AD275" s="1069">
        <v>30000</v>
      </c>
      <c r="AE275" s="1069">
        <v>30000</v>
      </c>
      <c r="AF275" s="1069">
        <v>30000</v>
      </c>
      <c r="AG275" s="1068"/>
      <c r="AH275" s="1068">
        <f t="shared" si="21"/>
        <v>0</v>
      </c>
      <c r="AI275" s="1067"/>
    </row>
    <row r="276" spans="1:35" s="1010" customFormat="1" outlineLevel="3">
      <c r="A276" s="999"/>
      <c r="B276" s="999"/>
      <c r="C276" s="1956" t="s">
        <v>1782</v>
      </c>
      <c r="D276" s="1956"/>
      <c r="E276" s="1956"/>
      <c r="F276" s="998">
        <f>SUM(F277:F278)</f>
        <v>1736.9623510000001</v>
      </c>
      <c r="G276" s="997">
        <f>SUM(G277:G278)</f>
        <v>3.5075494359192828E-4</v>
      </c>
      <c r="H276" s="1070"/>
      <c r="I276" s="1070"/>
      <c r="J276" s="1051"/>
      <c r="K276" s="1070"/>
      <c r="L276" s="1051"/>
      <c r="M276" s="1068"/>
      <c r="N276" s="1068"/>
      <c r="O276" s="1068"/>
      <c r="P276" s="1068"/>
      <c r="Q276" s="1068"/>
      <c r="R276" s="1068"/>
      <c r="S276" s="1068"/>
      <c r="T276" s="1068"/>
      <c r="U276" s="1073"/>
      <c r="V276" s="1073"/>
      <c r="W276" s="1073"/>
      <c r="X276" s="1073"/>
      <c r="Y276" s="1073"/>
      <c r="Z276" s="1073"/>
      <c r="AA276" s="1073"/>
      <c r="AB276" s="1073"/>
      <c r="AC276" s="1069"/>
      <c r="AD276" s="1069"/>
      <c r="AE276" s="1069"/>
      <c r="AF276" s="1069"/>
      <c r="AG276" s="1068"/>
      <c r="AH276" s="1068">
        <f t="shared" si="21"/>
        <v>0</v>
      </c>
    </row>
    <row r="277" spans="1:35" s="1010" customFormat="1" outlineLevel="4">
      <c r="A277" s="999"/>
      <c r="B277" s="999"/>
      <c r="C277" s="999"/>
      <c r="D277" s="1015">
        <f>+D275+1</f>
        <v>185</v>
      </c>
      <c r="E277" s="1026" t="s">
        <v>1781</v>
      </c>
      <c r="F277" s="988">
        <f>+'[11]7'!$P$245+300+500</f>
        <v>806.50828999999999</v>
      </c>
      <c r="G277" s="987">
        <f>+F277/$F$332</f>
        <v>1.6286292538379406E-4</v>
      </c>
      <c r="H277" s="1070">
        <v>18000</v>
      </c>
      <c r="I277" s="1070">
        <v>18000</v>
      </c>
      <c r="J277" s="1051">
        <v>20000</v>
      </c>
      <c r="K277" s="1070">
        <v>20000</v>
      </c>
      <c r="L277" s="1051">
        <v>20000</v>
      </c>
      <c r="M277" s="1068">
        <v>18000</v>
      </c>
      <c r="N277" s="1068">
        <v>18000</v>
      </c>
      <c r="O277" s="1068">
        <v>18000</v>
      </c>
      <c r="P277" s="1068">
        <v>18000</v>
      </c>
      <c r="Q277" s="1068">
        <v>18000</v>
      </c>
      <c r="R277" s="1068">
        <v>17000</v>
      </c>
      <c r="S277" s="1068">
        <v>17000</v>
      </c>
      <c r="T277" s="1074">
        <v>15000</v>
      </c>
      <c r="U277" s="1073">
        <v>15000</v>
      </c>
      <c r="V277" s="1073">
        <v>15000</v>
      </c>
      <c r="W277" s="1073">
        <v>15000</v>
      </c>
      <c r="X277" s="1073">
        <v>15000</v>
      </c>
      <c r="Y277" s="1073">
        <v>15000</v>
      </c>
      <c r="Z277" s="1073">
        <v>15000</v>
      </c>
      <c r="AA277" s="1073">
        <v>15000</v>
      </c>
      <c r="AB277" s="1073">
        <v>15000</v>
      </c>
      <c r="AC277" s="1069">
        <v>15000</v>
      </c>
      <c r="AD277" s="1069">
        <v>15000</v>
      </c>
      <c r="AE277" s="1069">
        <v>15000</v>
      </c>
      <c r="AF277" s="1069">
        <v>14500</v>
      </c>
      <c r="AG277" s="1068"/>
      <c r="AH277" s="1068">
        <f t="shared" si="21"/>
        <v>-500</v>
      </c>
      <c r="AI277" s="1067"/>
    </row>
    <row r="278" spans="1:35" outlineLevel="4">
      <c r="A278" s="999"/>
      <c r="B278" s="999"/>
      <c r="C278" s="999"/>
      <c r="D278" s="1015">
        <f>+D277+1</f>
        <v>186</v>
      </c>
      <c r="E278" s="1014" t="s">
        <v>1780</v>
      </c>
      <c r="F278" s="988">
        <f>+SUM('[13]7'!$P$237:$P$238,'[13]7'!$P$241:$P$244,)*0.1-300</f>
        <v>930.45406100000014</v>
      </c>
      <c r="G278" s="987">
        <f>+F278/$F$332</f>
        <v>1.8789201820813422E-4</v>
      </c>
      <c r="H278" s="1051">
        <v>500</v>
      </c>
      <c r="I278" s="1051">
        <v>500</v>
      </c>
      <c r="J278" s="1070">
        <v>500</v>
      </c>
      <c r="K278" s="1051">
        <v>500</v>
      </c>
      <c r="L278" s="1070">
        <v>500</v>
      </c>
      <c r="M278" s="1068">
        <v>500</v>
      </c>
      <c r="N278" s="1068">
        <v>500</v>
      </c>
      <c r="O278" s="1068">
        <v>400</v>
      </c>
      <c r="P278" s="1068">
        <v>400</v>
      </c>
      <c r="Q278" s="1068">
        <v>400</v>
      </c>
      <c r="R278" s="1068">
        <v>400</v>
      </c>
      <c r="S278" s="1068">
        <v>400</v>
      </c>
      <c r="T278" s="1068">
        <v>400</v>
      </c>
      <c r="U278" s="705">
        <v>400</v>
      </c>
      <c r="V278" s="705">
        <v>400</v>
      </c>
      <c r="W278" s="705">
        <v>450</v>
      </c>
      <c r="X278" s="705">
        <v>400</v>
      </c>
      <c r="Y278" s="705">
        <v>400</v>
      </c>
      <c r="Z278" s="705">
        <v>400</v>
      </c>
      <c r="AA278" s="705">
        <v>400</v>
      </c>
      <c r="AB278" s="705">
        <v>400</v>
      </c>
      <c r="AC278" s="1069">
        <v>400</v>
      </c>
      <c r="AD278" s="1069">
        <v>400</v>
      </c>
      <c r="AE278" s="1069">
        <v>400</v>
      </c>
      <c r="AF278" s="1069">
        <v>450</v>
      </c>
      <c r="AG278" s="1068"/>
      <c r="AH278" s="1068">
        <f t="shared" si="21"/>
        <v>50</v>
      </c>
      <c r="AI278" s="1067"/>
    </row>
    <row r="279" spans="1:35" outlineLevel="2">
      <c r="A279" s="999"/>
      <c r="B279" s="1955" t="s">
        <v>1779</v>
      </c>
      <c r="C279" s="1955"/>
      <c r="D279" s="1955"/>
      <c r="E279" s="1955"/>
      <c r="F279" s="1020">
        <f>+F280+F284</f>
        <v>18565.740228000002</v>
      </c>
      <c r="G279" s="1019">
        <f>+G280+G284</f>
        <v>3.7490882647314983E-3</v>
      </c>
      <c r="H279" s="1070"/>
      <c r="I279" s="1070"/>
      <c r="J279" s="1070"/>
      <c r="K279" s="1070"/>
      <c r="L279" s="1070"/>
      <c r="M279" s="1068"/>
      <c r="N279" s="1068"/>
      <c r="O279" s="1068"/>
      <c r="P279" s="1068"/>
      <c r="Q279" s="1068"/>
      <c r="R279" s="1068"/>
      <c r="S279" s="1068"/>
      <c r="T279" s="1068"/>
      <c r="U279" s="705"/>
      <c r="V279" s="705"/>
      <c r="W279" s="705"/>
      <c r="X279" s="705"/>
      <c r="Y279" s="705"/>
      <c r="Z279" s="705"/>
      <c r="AA279" s="705"/>
      <c r="AB279" s="705"/>
      <c r="AC279" s="1069"/>
      <c r="AD279" s="1069"/>
      <c r="AE279" s="1069"/>
      <c r="AF279" s="1069"/>
      <c r="AG279" s="1068"/>
      <c r="AH279" s="1068">
        <f t="shared" si="21"/>
        <v>0</v>
      </c>
    </row>
    <row r="280" spans="1:35" s="1010" customFormat="1" outlineLevel="3">
      <c r="A280" s="999"/>
      <c r="B280" s="999"/>
      <c r="C280" s="1956" t="s">
        <v>1778</v>
      </c>
      <c r="D280" s="1956"/>
      <c r="E280" s="1956"/>
      <c r="F280" s="998">
        <f>SUM(F281:F283)</f>
        <v>7317.6118900000001</v>
      </c>
      <c r="G280" s="997">
        <f>SUM(G281:G283)</f>
        <v>1.4776880709169576E-3</v>
      </c>
      <c r="H280" s="1070"/>
      <c r="I280" s="1070"/>
      <c r="J280" s="1070"/>
      <c r="K280" s="1070"/>
      <c r="L280" s="1070"/>
      <c r="M280" s="1068"/>
      <c r="N280" s="1068"/>
      <c r="O280" s="1068"/>
      <c r="P280" s="1068"/>
      <c r="Q280" s="1068"/>
      <c r="R280" s="1068"/>
      <c r="S280" s="1068"/>
      <c r="T280" s="1068"/>
      <c r="U280" s="1073"/>
      <c r="V280" s="1073"/>
      <c r="W280" s="1073"/>
      <c r="X280" s="1073"/>
      <c r="Y280" s="1073"/>
      <c r="Z280" s="1073"/>
      <c r="AA280" s="1073"/>
      <c r="AB280" s="1073"/>
      <c r="AC280" s="1069"/>
      <c r="AD280" s="1069"/>
      <c r="AE280" s="1069"/>
      <c r="AF280" s="1069"/>
      <c r="AG280" s="1068"/>
      <c r="AH280" s="1068">
        <f t="shared" si="21"/>
        <v>0</v>
      </c>
    </row>
    <row r="281" spans="1:35" s="1010" customFormat="1" outlineLevel="4">
      <c r="A281" s="999"/>
      <c r="B281" s="999"/>
      <c r="C281" s="999"/>
      <c r="D281" s="1015">
        <f>+D278+1</f>
        <v>187</v>
      </c>
      <c r="E281" s="1014" t="s">
        <v>1777</v>
      </c>
      <c r="F281" s="988">
        <f>+'[13]7'!$P$275*0.4</f>
        <v>1456.195256</v>
      </c>
      <c r="G281" s="987">
        <f>+F281/$F$332</f>
        <v>2.9405800568046595E-4</v>
      </c>
      <c r="H281" s="1051">
        <v>850</v>
      </c>
      <c r="I281" s="1051">
        <v>850</v>
      </c>
      <c r="J281" s="1051">
        <v>850</v>
      </c>
      <c r="K281" s="1051">
        <v>850</v>
      </c>
      <c r="L281" s="1051">
        <v>850</v>
      </c>
      <c r="M281" s="1068">
        <v>850</v>
      </c>
      <c r="N281" s="1068">
        <v>850</v>
      </c>
      <c r="O281" s="1068">
        <v>850</v>
      </c>
      <c r="P281" s="1068">
        <v>850</v>
      </c>
      <c r="Q281" s="1068">
        <v>850</v>
      </c>
      <c r="R281" s="1068">
        <v>850</v>
      </c>
      <c r="S281" s="1068">
        <v>850</v>
      </c>
      <c r="T281" s="1068">
        <v>850</v>
      </c>
      <c r="U281" s="1073">
        <v>850</v>
      </c>
      <c r="V281" s="1073">
        <v>850</v>
      </c>
      <c r="W281" s="1073">
        <v>850</v>
      </c>
      <c r="X281" s="1073">
        <v>850</v>
      </c>
      <c r="Y281" s="1073">
        <v>850</v>
      </c>
      <c r="Z281" s="1073">
        <v>850</v>
      </c>
      <c r="AA281" s="1073">
        <v>850</v>
      </c>
      <c r="AB281" s="1073">
        <v>850</v>
      </c>
      <c r="AC281" s="1069">
        <v>850</v>
      </c>
      <c r="AD281" s="1069">
        <v>850</v>
      </c>
      <c r="AE281" s="1069">
        <v>850</v>
      </c>
      <c r="AF281" s="1069">
        <v>850</v>
      </c>
      <c r="AG281" s="1068"/>
      <c r="AH281" s="1068">
        <f t="shared" si="21"/>
        <v>0</v>
      </c>
      <c r="AI281" s="1067"/>
    </row>
    <row r="282" spans="1:35" s="1010" customFormat="1" outlineLevel="4">
      <c r="A282" s="999"/>
      <c r="B282" s="999"/>
      <c r="C282" s="999"/>
      <c r="D282" s="1017">
        <f>+D281+1</f>
        <v>188</v>
      </c>
      <c r="E282" s="1014" t="s">
        <v>1776</v>
      </c>
      <c r="F282" s="988">
        <f>+'[13]7'!$P$275*0.6</f>
        <v>2184.292884</v>
      </c>
      <c r="G282" s="987">
        <f>+F282/$F$332</f>
        <v>4.4108700852069896E-4</v>
      </c>
      <c r="H282" s="1051">
        <v>2600</v>
      </c>
      <c r="I282" s="1051">
        <v>2600</v>
      </c>
      <c r="J282" s="1070">
        <v>2600</v>
      </c>
      <c r="K282" s="1051">
        <v>2600</v>
      </c>
      <c r="L282" s="1070">
        <v>2600</v>
      </c>
      <c r="M282" s="1068">
        <v>2600</v>
      </c>
      <c r="N282" s="1068">
        <v>2600</v>
      </c>
      <c r="O282" s="1068">
        <v>2600</v>
      </c>
      <c r="P282" s="1068">
        <v>2600</v>
      </c>
      <c r="Q282" s="1068">
        <v>2600</v>
      </c>
      <c r="R282" s="1068">
        <v>2600</v>
      </c>
      <c r="S282" s="1068">
        <v>2600</v>
      </c>
      <c r="T282" s="1068">
        <v>2600</v>
      </c>
      <c r="U282" s="1073">
        <v>2600</v>
      </c>
      <c r="V282" s="1073">
        <v>2600</v>
      </c>
      <c r="W282" s="1073">
        <v>2600</v>
      </c>
      <c r="X282" s="1073">
        <v>2600</v>
      </c>
      <c r="Y282" s="1073">
        <v>2600</v>
      </c>
      <c r="Z282" s="1073">
        <v>2600</v>
      </c>
      <c r="AA282" s="1073">
        <v>2600</v>
      </c>
      <c r="AB282" s="1073">
        <v>2600</v>
      </c>
      <c r="AC282" s="1069">
        <v>3850</v>
      </c>
      <c r="AD282" s="1069">
        <v>3850</v>
      </c>
      <c r="AE282" s="1069">
        <v>3850</v>
      </c>
      <c r="AF282" s="1069">
        <v>3850</v>
      </c>
      <c r="AG282" s="1068"/>
      <c r="AH282" s="1068">
        <f t="shared" si="21"/>
        <v>0</v>
      </c>
      <c r="AI282" s="1067"/>
    </row>
    <row r="283" spans="1:35" outlineLevel="4">
      <c r="A283" s="999"/>
      <c r="B283" s="999"/>
      <c r="C283" s="999"/>
      <c r="D283" s="1017">
        <f>+D282+1</f>
        <v>189</v>
      </c>
      <c r="E283" s="1014" t="s">
        <v>1775</v>
      </c>
      <c r="F283" s="988">
        <f>+SUM('[13]7'!$P$276,'[13]7'!$P$246:$P$249)</f>
        <v>3677.1237499999997</v>
      </c>
      <c r="G283" s="987">
        <f>+F283/$F$332</f>
        <v>7.4254305671579268E-4</v>
      </c>
      <c r="H283" s="1070">
        <v>300</v>
      </c>
      <c r="I283" s="1070">
        <v>300</v>
      </c>
      <c r="J283" s="1070">
        <v>200</v>
      </c>
      <c r="K283" s="1070">
        <v>200</v>
      </c>
      <c r="L283" s="1070">
        <v>200</v>
      </c>
      <c r="M283" s="1068">
        <v>200</v>
      </c>
      <c r="N283" s="1068">
        <v>300</v>
      </c>
      <c r="O283" s="1068">
        <v>300</v>
      </c>
      <c r="P283" s="1068">
        <v>300</v>
      </c>
      <c r="Q283" s="1068">
        <v>300</v>
      </c>
      <c r="R283" s="1068">
        <v>300</v>
      </c>
      <c r="S283" s="1068">
        <v>300</v>
      </c>
      <c r="T283" s="1068">
        <v>300</v>
      </c>
      <c r="U283" s="705">
        <v>300</v>
      </c>
      <c r="V283" s="705">
        <v>300</v>
      </c>
      <c r="W283" s="705">
        <v>300</v>
      </c>
      <c r="X283" s="705">
        <v>300</v>
      </c>
      <c r="Y283" s="705">
        <v>300</v>
      </c>
      <c r="Z283" s="705">
        <v>300</v>
      </c>
      <c r="AA283" s="705">
        <v>300</v>
      </c>
      <c r="AB283" s="705">
        <v>300</v>
      </c>
      <c r="AC283" s="1069">
        <v>300</v>
      </c>
      <c r="AD283" s="1069">
        <v>300</v>
      </c>
      <c r="AE283" s="1069">
        <v>310</v>
      </c>
      <c r="AF283" s="1069">
        <v>310</v>
      </c>
      <c r="AG283" s="1068"/>
      <c r="AH283" s="1068">
        <f t="shared" si="21"/>
        <v>0</v>
      </c>
      <c r="AI283" s="1067"/>
    </row>
    <row r="284" spans="1:35" s="1010" customFormat="1" outlineLevel="3">
      <c r="A284" s="999"/>
      <c r="B284" s="999"/>
      <c r="C284" s="1956" t="s">
        <v>1774</v>
      </c>
      <c r="D284" s="1956"/>
      <c r="E284" s="1956"/>
      <c r="F284" s="998">
        <f>SUM(F285)</f>
        <v>11248.128338000002</v>
      </c>
      <c r="G284" s="997">
        <f>SUM(G285)</f>
        <v>2.2714001938145406E-3</v>
      </c>
      <c r="H284" s="1070"/>
      <c r="I284" s="1070"/>
      <c r="J284" s="1051"/>
      <c r="K284" s="1070"/>
      <c r="L284" s="1051"/>
      <c r="M284" s="1068"/>
      <c r="N284" s="1068"/>
      <c r="O284" s="1068"/>
      <c r="P284" s="1068"/>
      <c r="Q284" s="1068"/>
      <c r="R284" s="1068"/>
      <c r="S284" s="1068"/>
      <c r="T284" s="1068"/>
      <c r="U284" s="1073"/>
      <c r="V284" s="1073"/>
      <c r="W284" s="1073"/>
      <c r="X284" s="1073"/>
      <c r="Y284" s="1073"/>
      <c r="Z284" s="1073"/>
      <c r="AA284" s="1073"/>
      <c r="AB284" s="1073"/>
      <c r="AC284" s="1069"/>
      <c r="AD284" s="1069"/>
      <c r="AE284" s="1069"/>
      <c r="AF284" s="1069"/>
      <c r="AG284" s="1068"/>
      <c r="AH284" s="1068">
        <f t="shared" si="21"/>
        <v>0</v>
      </c>
    </row>
    <row r="285" spans="1:35" outlineLevel="4">
      <c r="A285" s="999"/>
      <c r="B285" s="999"/>
      <c r="C285" s="999"/>
      <c r="D285" s="1015">
        <f>+D283+1</f>
        <v>190</v>
      </c>
      <c r="E285" s="1014" t="s">
        <v>1773</v>
      </c>
      <c r="F285" s="988">
        <f>+SUM('[13]7'!$P$250:$P$261)+SUM('[13]7'!$P$271:$P$273)+'[13]7'!$P$263+'[13]7'!$P$277+'[13]7'!$P$274+SUM('[13]7'!$P$264:$P$265)</f>
        <v>11248.128338000002</v>
      </c>
      <c r="G285" s="987">
        <f>+F285/$F$332</f>
        <v>2.2714001938145406E-3</v>
      </c>
      <c r="H285" s="1070">
        <v>1600</v>
      </c>
      <c r="I285" s="1070">
        <v>1600</v>
      </c>
      <c r="J285" s="1051">
        <v>1600</v>
      </c>
      <c r="K285" s="1070">
        <v>1600</v>
      </c>
      <c r="L285" s="1051">
        <v>1600</v>
      </c>
      <c r="M285" s="1068">
        <v>1600</v>
      </c>
      <c r="N285" s="1068">
        <v>1600</v>
      </c>
      <c r="O285" s="1068">
        <v>1600</v>
      </c>
      <c r="P285" s="1068">
        <v>1600</v>
      </c>
      <c r="Q285" s="1068">
        <v>1600</v>
      </c>
      <c r="R285" s="1068">
        <v>1600</v>
      </c>
      <c r="S285" s="1068">
        <v>1800</v>
      </c>
      <c r="T285" s="1068">
        <v>1800</v>
      </c>
      <c r="U285" s="705">
        <v>1800</v>
      </c>
      <c r="V285" s="705">
        <v>1800</v>
      </c>
      <c r="W285" s="705">
        <v>1800</v>
      </c>
      <c r="X285" s="705">
        <v>2000</v>
      </c>
      <c r="Y285" s="705">
        <v>2000</v>
      </c>
      <c r="Z285" s="705">
        <v>2000</v>
      </c>
      <c r="AA285" s="705">
        <v>2000</v>
      </c>
      <c r="AB285" s="705">
        <v>2000</v>
      </c>
      <c r="AC285" s="1069">
        <v>1800</v>
      </c>
      <c r="AD285" s="1069">
        <v>1700</v>
      </c>
      <c r="AE285" s="1069">
        <v>1700</v>
      </c>
      <c r="AF285" s="1069">
        <v>1650</v>
      </c>
      <c r="AG285" s="1068"/>
      <c r="AH285" s="1068">
        <f t="shared" si="21"/>
        <v>-50</v>
      </c>
      <c r="AI285" s="1067"/>
    </row>
    <row r="286" spans="1:35" outlineLevel="2">
      <c r="A286" s="999"/>
      <c r="B286" s="1955" t="s">
        <v>1772</v>
      </c>
      <c r="C286" s="1955"/>
      <c r="D286" s="1955"/>
      <c r="E286" s="1955"/>
      <c r="F286" s="1020">
        <f>+F287+F290+F292+F294</f>
        <v>63199.511230999997</v>
      </c>
      <c r="G286" s="1019">
        <f>+G287+G290+G292+G294</f>
        <v>1.2762246104012902E-2</v>
      </c>
      <c r="H286" s="1051"/>
      <c r="I286" s="1051"/>
      <c r="J286" s="1070"/>
      <c r="K286" s="1051"/>
      <c r="L286" s="1070"/>
      <c r="M286" s="1068"/>
      <c r="N286" s="1068"/>
      <c r="O286" s="1068"/>
      <c r="P286" s="1068"/>
      <c r="Q286" s="1068"/>
      <c r="R286" s="1068"/>
      <c r="S286" s="1068"/>
      <c r="T286" s="1068"/>
      <c r="U286" s="705"/>
      <c r="V286" s="705"/>
      <c r="W286" s="705"/>
      <c r="X286" s="705"/>
      <c r="Y286" s="705"/>
      <c r="Z286" s="705"/>
      <c r="AA286" s="705"/>
      <c r="AB286" s="705"/>
      <c r="AC286" s="1069"/>
      <c r="AD286" s="1069"/>
      <c r="AE286" s="1069"/>
      <c r="AF286" s="1069"/>
      <c r="AG286" s="1068"/>
      <c r="AH286" s="1068">
        <f t="shared" si="21"/>
        <v>0</v>
      </c>
    </row>
    <row r="287" spans="1:35" s="1010" customFormat="1" outlineLevel="3">
      <c r="A287" s="999"/>
      <c r="B287" s="999"/>
      <c r="C287" s="1027" t="s">
        <v>1771</v>
      </c>
      <c r="D287" s="1027"/>
      <c r="E287" s="1024"/>
      <c r="F287" s="998">
        <f>SUM(F288:F289)</f>
        <v>39741.562030000001</v>
      </c>
      <c r="G287" s="997">
        <f>SUM(G288:G289)</f>
        <v>8.0252455328479189E-3</v>
      </c>
      <c r="H287" s="1070"/>
      <c r="I287" s="1070"/>
      <c r="J287" s="1070"/>
      <c r="K287" s="1070"/>
      <c r="L287" s="1070"/>
      <c r="M287" s="1068"/>
      <c r="N287" s="1068"/>
      <c r="O287" s="1068"/>
      <c r="P287" s="1068"/>
      <c r="Q287" s="1068"/>
      <c r="R287" s="1068"/>
      <c r="S287" s="1068"/>
      <c r="T287" s="1068"/>
      <c r="U287" s="1073"/>
      <c r="V287" s="1073"/>
      <c r="W287" s="1073"/>
      <c r="X287" s="1073"/>
      <c r="Y287" s="1073"/>
      <c r="Z287" s="1073"/>
      <c r="AA287" s="1073"/>
      <c r="AB287" s="1073"/>
      <c r="AC287" s="1069"/>
      <c r="AD287" s="1069"/>
      <c r="AE287" s="1069"/>
      <c r="AF287" s="1069"/>
      <c r="AG287" s="1068"/>
      <c r="AH287" s="1068">
        <f t="shared" si="21"/>
        <v>0</v>
      </c>
    </row>
    <row r="288" spans="1:35" s="1010" customFormat="1" outlineLevel="4">
      <c r="A288" s="999"/>
      <c r="B288" s="999"/>
      <c r="C288" s="999"/>
      <c r="D288" s="1013">
        <f>+D285+1</f>
        <v>191</v>
      </c>
      <c r="E288" s="1014" t="s">
        <v>1770</v>
      </c>
      <c r="F288" s="988">
        <f>+'[11]7'!$P$282</f>
        <v>22520.587000000003</v>
      </c>
      <c r="G288" s="987">
        <f>+F288/$F$332</f>
        <v>4.5477135519341565E-3</v>
      </c>
      <c r="H288" s="1051">
        <v>3500</v>
      </c>
      <c r="I288" s="1051">
        <v>3500</v>
      </c>
      <c r="J288" s="1070">
        <v>3500</v>
      </c>
      <c r="K288" s="1051">
        <v>3500</v>
      </c>
      <c r="L288" s="1070">
        <v>3500</v>
      </c>
      <c r="M288" s="1068">
        <v>3500</v>
      </c>
      <c r="N288" s="1068">
        <v>3500</v>
      </c>
      <c r="O288" s="1068">
        <v>3500</v>
      </c>
      <c r="P288" s="1068">
        <v>3500</v>
      </c>
      <c r="Q288" s="1068">
        <v>3500</v>
      </c>
      <c r="R288" s="1068">
        <v>3500</v>
      </c>
      <c r="S288" s="1068">
        <v>3500</v>
      </c>
      <c r="T288" s="1068">
        <v>3500</v>
      </c>
      <c r="U288" s="1073">
        <v>3500</v>
      </c>
      <c r="V288" s="1073">
        <v>3500</v>
      </c>
      <c r="W288" s="1073">
        <v>3500</v>
      </c>
      <c r="X288" s="1073">
        <v>3500</v>
      </c>
      <c r="Y288" s="1073">
        <v>3500</v>
      </c>
      <c r="Z288" s="1073">
        <v>3500</v>
      </c>
      <c r="AA288" s="1073">
        <v>3500</v>
      </c>
      <c r="AB288" s="1073">
        <v>3500</v>
      </c>
      <c r="AC288" s="1069">
        <v>3500</v>
      </c>
      <c r="AD288" s="1069">
        <v>3500</v>
      </c>
      <c r="AE288" s="1069">
        <v>3500</v>
      </c>
      <c r="AF288" s="1069">
        <v>3500</v>
      </c>
      <c r="AG288" s="1068"/>
      <c r="AH288" s="1068">
        <f t="shared" si="21"/>
        <v>0</v>
      </c>
      <c r="AI288" s="1067"/>
    </row>
    <row r="289" spans="1:35" ht="25.5" outlineLevel="4">
      <c r="A289" s="999"/>
      <c r="B289" s="999"/>
      <c r="C289" s="999"/>
      <c r="D289" s="1013">
        <f>+D288+1</f>
        <v>192</v>
      </c>
      <c r="E289" s="1014" t="s">
        <v>1769</v>
      </c>
      <c r="F289" s="988">
        <f>+'[11]7'!$P$279+'[13]7'!$P$283+'[13]7'!$P$285</f>
        <v>17220.975029999998</v>
      </c>
      <c r="G289" s="987">
        <f>+F289/$F$332</f>
        <v>3.4775319809137615E-3</v>
      </c>
      <c r="H289" s="1051">
        <v>180</v>
      </c>
      <c r="I289" s="1051">
        <v>180</v>
      </c>
      <c r="J289" s="1051">
        <v>180</v>
      </c>
      <c r="K289" s="1051">
        <v>180</v>
      </c>
      <c r="L289" s="1051">
        <v>180</v>
      </c>
      <c r="M289" s="1068">
        <v>180</v>
      </c>
      <c r="N289" s="1068">
        <v>180</v>
      </c>
      <c r="O289" s="1068">
        <v>180</v>
      </c>
      <c r="P289" s="1068">
        <v>180</v>
      </c>
      <c r="Q289" s="1068">
        <v>180</v>
      </c>
      <c r="R289" s="1068">
        <v>180</v>
      </c>
      <c r="S289" s="1068">
        <v>180</v>
      </c>
      <c r="T289" s="1068">
        <v>180</v>
      </c>
      <c r="U289" s="705">
        <v>180</v>
      </c>
      <c r="V289" s="705">
        <v>180</v>
      </c>
      <c r="W289" s="705">
        <v>180</v>
      </c>
      <c r="X289" s="705">
        <v>180</v>
      </c>
      <c r="Y289" s="705">
        <v>180</v>
      </c>
      <c r="Z289" s="705">
        <v>180</v>
      </c>
      <c r="AA289" s="705">
        <v>200</v>
      </c>
      <c r="AB289" s="705">
        <v>200</v>
      </c>
      <c r="AC289" s="1069">
        <v>200</v>
      </c>
      <c r="AD289" s="1069">
        <v>200</v>
      </c>
      <c r="AE289" s="1069">
        <v>200</v>
      </c>
      <c r="AF289" s="1069">
        <v>200</v>
      </c>
      <c r="AG289" s="1068"/>
      <c r="AH289" s="1068">
        <f t="shared" si="21"/>
        <v>0</v>
      </c>
      <c r="AI289" s="1067"/>
    </row>
    <row r="290" spans="1:35" s="1010" customFormat="1" outlineLevel="3">
      <c r="A290" s="999"/>
      <c r="B290" s="999"/>
      <c r="C290" s="1956" t="s">
        <v>1768</v>
      </c>
      <c r="D290" s="1956"/>
      <c r="E290" s="1956"/>
      <c r="F290" s="998">
        <f>SUM(F291)</f>
        <v>11358.962029999997</v>
      </c>
      <c r="G290" s="997">
        <f>SUM(G291)</f>
        <v>2.2937814880107919E-3</v>
      </c>
      <c r="H290" s="1070"/>
      <c r="I290" s="1070"/>
      <c r="J290" s="1070"/>
      <c r="K290" s="1070"/>
      <c r="L290" s="1070"/>
      <c r="M290" s="1068"/>
      <c r="N290" s="1068"/>
      <c r="O290" s="1068"/>
      <c r="P290" s="1068"/>
      <c r="Q290" s="1068"/>
      <c r="R290" s="1068"/>
      <c r="S290" s="1068"/>
      <c r="T290" s="1068"/>
      <c r="U290" s="1073"/>
      <c r="V290" s="1073"/>
      <c r="W290" s="1073"/>
      <c r="X290" s="1073"/>
      <c r="Y290" s="1073"/>
      <c r="Z290" s="1073"/>
      <c r="AA290" s="1073"/>
      <c r="AB290" s="1073"/>
      <c r="AC290" s="1069"/>
      <c r="AD290" s="1069"/>
      <c r="AE290" s="1069"/>
      <c r="AF290" s="1069"/>
      <c r="AG290" s="1068"/>
      <c r="AH290" s="1068">
        <f t="shared" si="21"/>
        <v>0</v>
      </c>
    </row>
    <row r="291" spans="1:35" outlineLevel="4">
      <c r="A291" s="999"/>
      <c r="B291" s="999"/>
      <c r="C291" s="999"/>
      <c r="D291" s="1015">
        <f>+D289+1</f>
        <v>193</v>
      </c>
      <c r="E291" s="1014" t="s">
        <v>1767</v>
      </c>
      <c r="F291" s="988">
        <f>+'[11]7'!$P$278-500</f>
        <v>11358.962029999997</v>
      </c>
      <c r="G291" s="987">
        <f>+F291/$F$332</f>
        <v>2.2937814880107919E-3</v>
      </c>
      <c r="H291" s="1070">
        <v>3200</v>
      </c>
      <c r="I291" s="1070">
        <v>3200</v>
      </c>
      <c r="J291" s="1051">
        <v>3200</v>
      </c>
      <c r="K291" s="1070">
        <v>3200</v>
      </c>
      <c r="L291" s="1051">
        <v>3200</v>
      </c>
      <c r="M291" s="1068">
        <v>3200</v>
      </c>
      <c r="N291" s="1068">
        <v>3200</v>
      </c>
      <c r="O291" s="1068">
        <v>3200</v>
      </c>
      <c r="P291" s="1068">
        <v>3200</v>
      </c>
      <c r="Q291" s="1068">
        <v>3500</v>
      </c>
      <c r="R291" s="1068">
        <v>3500</v>
      </c>
      <c r="S291" s="1068">
        <v>3500</v>
      </c>
      <c r="T291" s="1068">
        <v>3500</v>
      </c>
      <c r="U291" s="705">
        <v>3500</v>
      </c>
      <c r="V291" s="705">
        <v>3500</v>
      </c>
      <c r="W291" s="705">
        <v>3500</v>
      </c>
      <c r="X291" s="705">
        <v>3500</v>
      </c>
      <c r="Y291" s="705">
        <v>3500</v>
      </c>
      <c r="Z291" s="705">
        <v>3500</v>
      </c>
      <c r="AA291" s="705">
        <v>4000</v>
      </c>
      <c r="AB291" s="705">
        <v>4000</v>
      </c>
      <c r="AC291" s="1069">
        <v>4000</v>
      </c>
      <c r="AD291" s="1069">
        <v>4000</v>
      </c>
      <c r="AE291" s="1069">
        <v>4000</v>
      </c>
      <c r="AF291" s="1069">
        <v>4200</v>
      </c>
      <c r="AG291" s="1068"/>
      <c r="AH291" s="1068">
        <f t="shared" si="21"/>
        <v>200</v>
      </c>
      <c r="AI291" s="1067"/>
    </row>
    <row r="292" spans="1:35" s="1010" customFormat="1" outlineLevel="3">
      <c r="A292" s="999"/>
      <c r="B292" s="999"/>
      <c r="C292" s="1956" t="s">
        <v>1766</v>
      </c>
      <c r="D292" s="1956"/>
      <c r="E292" s="1956"/>
      <c r="F292" s="998">
        <f>SUM(F293)</f>
        <v>937.82617099999993</v>
      </c>
      <c r="G292" s="997">
        <f>SUM(G293)</f>
        <v>1.8938071140042748E-4</v>
      </c>
      <c r="H292" s="1051"/>
      <c r="I292" s="1051"/>
      <c r="J292" s="1051"/>
      <c r="K292" s="1051"/>
      <c r="L292" s="1051"/>
      <c r="M292" s="1068"/>
      <c r="N292" s="1068"/>
      <c r="O292" s="1068"/>
      <c r="P292" s="1068"/>
      <c r="Q292" s="1068"/>
      <c r="R292" s="1068"/>
      <c r="S292" s="1068"/>
      <c r="T292" s="1068"/>
      <c r="U292" s="1073"/>
      <c r="V292" s="1073"/>
      <c r="W292" s="1073"/>
      <c r="X292" s="1073"/>
      <c r="Y292" s="1073"/>
      <c r="Z292" s="1073"/>
      <c r="AA292" s="1073"/>
      <c r="AB292" s="1073"/>
      <c r="AC292" s="1069"/>
      <c r="AD292" s="1069"/>
      <c r="AE292" s="1069"/>
      <c r="AF292" s="1069"/>
      <c r="AG292" s="1068"/>
      <c r="AH292" s="1068">
        <f t="shared" si="21"/>
        <v>0</v>
      </c>
    </row>
    <row r="293" spans="1:35" outlineLevel="4">
      <c r="A293" s="999"/>
      <c r="B293" s="999"/>
      <c r="C293" s="999"/>
      <c r="D293" s="1015">
        <f>+D291+1</f>
        <v>194</v>
      </c>
      <c r="E293" s="1026" t="s">
        <v>1765</v>
      </c>
      <c r="F293" s="988">
        <f>+'[11]7'!$P$284+500</f>
        <v>937.82617099999993</v>
      </c>
      <c r="G293" s="987">
        <f>+F293/$F$332</f>
        <v>1.8938071140042748E-4</v>
      </c>
      <c r="H293" s="1070">
        <v>1500</v>
      </c>
      <c r="I293" s="1070">
        <v>1500</v>
      </c>
      <c r="J293" s="1070">
        <v>1500</v>
      </c>
      <c r="K293" s="1070">
        <v>1500</v>
      </c>
      <c r="L293" s="1070">
        <v>1500</v>
      </c>
      <c r="M293" s="1068">
        <v>1500</v>
      </c>
      <c r="N293" s="1068">
        <v>1500</v>
      </c>
      <c r="O293" s="1068">
        <v>1500</v>
      </c>
      <c r="P293" s="1068">
        <v>1500</v>
      </c>
      <c r="Q293" s="1068">
        <v>1500</v>
      </c>
      <c r="R293" s="1068">
        <v>1500</v>
      </c>
      <c r="S293" s="1068">
        <v>1500</v>
      </c>
      <c r="T293" s="1068">
        <v>1500</v>
      </c>
      <c r="U293" s="705">
        <v>1500</v>
      </c>
      <c r="V293" s="705">
        <v>1500</v>
      </c>
      <c r="W293" s="705">
        <v>1500</v>
      </c>
      <c r="X293" s="705">
        <v>1500</v>
      </c>
      <c r="Y293" s="705">
        <v>1500</v>
      </c>
      <c r="Z293" s="705">
        <v>1500</v>
      </c>
      <c r="AA293" s="705">
        <v>1500</v>
      </c>
      <c r="AB293" s="705">
        <v>1500</v>
      </c>
      <c r="AC293" s="1069">
        <v>1500</v>
      </c>
      <c r="AD293" s="1069">
        <v>1500</v>
      </c>
      <c r="AE293" s="1069">
        <v>1500</v>
      </c>
      <c r="AF293" s="1069">
        <v>1500</v>
      </c>
      <c r="AG293" s="1068"/>
      <c r="AH293" s="1068">
        <f t="shared" si="21"/>
        <v>0</v>
      </c>
      <c r="AI293" s="1067"/>
    </row>
    <row r="294" spans="1:35" s="1010" customFormat="1" outlineLevel="3">
      <c r="A294" s="999"/>
      <c r="B294" s="999"/>
      <c r="C294" s="1956" t="s">
        <v>1764</v>
      </c>
      <c r="D294" s="1956"/>
      <c r="E294" s="1956"/>
      <c r="F294" s="998">
        <f>SUM(F295)</f>
        <v>11161.161</v>
      </c>
      <c r="G294" s="997">
        <f>SUM(G295)</f>
        <v>2.2538383717537638E-3</v>
      </c>
      <c r="H294" s="1051"/>
      <c r="I294" s="1051"/>
      <c r="J294" s="1070"/>
      <c r="K294" s="1051"/>
      <c r="L294" s="1070"/>
      <c r="M294" s="1068"/>
      <c r="N294" s="1068"/>
      <c r="O294" s="1068"/>
      <c r="P294" s="1068"/>
      <c r="Q294" s="1068"/>
      <c r="R294" s="1068"/>
      <c r="S294" s="1068"/>
      <c r="T294" s="1068"/>
      <c r="U294" s="1073"/>
      <c r="V294" s="1073"/>
      <c r="W294" s="1073"/>
      <c r="X294" s="1073"/>
      <c r="Y294" s="1073"/>
      <c r="Z294" s="1073"/>
      <c r="AA294" s="1073"/>
      <c r="AB294" s="1073"/>
      <c r="AC294" s="1069"/>
      <c r="AD294" s="1069"/>
      <c r="AE294" s="1069"/>
      <c r="AF294" s="1069"/>
      <c r="AG294" s="1068"/>
      <c r="AH294" s="1068">
        <f t="shared" si="21"/>
        <v>0</v>
      </c>
    </row>
    <row r="295" spans="1:35" outlineLevel="4">
      <c r="A295" s="999"/>
      <c r="B295" s="999"/>
      <c r="C295" s="999"/>
      <c r="D295" s="1015">
        <f>+D293+1</f>
        <v>195</v>
      </c>
      <c r="E295" s="1012" t="s">
        <v>1763</v>
      </c>
      <c r="F295" s="988">
        <f>+'[11]7'!$P$280+'[11]7'!$P$281</f>
        <v>11161.161</v>
      </c>
      <c r="G295" s="987">
        <f>+F295/$F$332</f>
        <v>2.2538383717537638E-3</v>
      </c>
      <c r="H295" s="1070">
        <v>450</v>
      </c>
      <c r="I295" s="1070">
        <v>500</v>
      </c>
      <c r="J295" s="1051">
        <v>450</v>
      </c>
      <c r="K295" s="1070">
        <v>450</v>
      </c>
      <c r="L295" s="1051">
        <v>450</v>
      </c>
      <c r="M295" s="1068">
        <v>450</v>
      </c>
      <c r="N295" s="1068">
        <v>450</v>
      </c>
      <c r="O295" s="1068">
        <v>450</v>
      </c>
      <c r="P295" s="1068">
        <v>450</v>
      </c>
      <c r="Q295" s="1068">
        <v>450</v>
      </c>
      <c r="R295" s="1068">
        <v>450</v>
      </c>
      <c r="S295" s="1068">
        <v>450</v>
      </c>
      <c r="T295" s="1068">
        <v>450</v>
      </c>
      <c r="U295" s="705">
        <v>450</v>
      </c>
      <c r="V295" s="705">
        <v>450</v>
      </c>
      <c r="W295" s="705">
        <v>450</v>
      </c>
      <c r="X295" s="705">
        <v>450</v>
      </c>
      <c r="Y295" s="705">
        <v>450</v>
      </c>
      <c r="Z295" s="705">
        <v>450</v>
      </c>
      <c r="AA295" s="705">
        <v>450</v>
      </c>
      <c r="AB295" s="705">
        <v>450</v>
      </c>
      <c r="AC295" s="1069">
        <v>450</v>
      </c>
      <c r="AD295" s="1069">
        <v>450</v>
      </c>
      <c r="AE295" s="1069">
        <v>450</v>
      </c>
      <c r="AF295" s="1069">
        <v>450</v>
      </c>
      <c r="AG295" s="1068"/>
      <c r="AH295" s="1068">
        <f t="shared" si="21"/>
        <v>0</v>
      </c>
      <c r="AI295" s="1067"/>
    </row>
    <row r="296" spans="1:35" outlineLevel="1">
      <c r="A296" s="1025" t="s">
        <v>1762</v>
      </c>
      <c r="B296" s="1025"/>
      <c r="C296" s="1025"/>
      <c r="D296" s="1025"/>
      <c r="E296" s="1024"/>
      <c r="F296" s="1023">
        <f>+F297</f>
        <v>88623.503769999996</v>
      </c>
      <c r="G296" s="1022">
        <f>+G297</f>
        <v>1.7896261279278233E-2</v>
      </c>
      <c r="H296" s="1051"/>
      <c r="I296" s="1051"/>
      <c r="J296" s="1070"/>
      <c r="K296" s="1051"/>
      <c r="L296" s="1070"/>
      <c r="M296" s="1068"/>
      <c r="N296" s="1068"/>
      <c r="O296" s="1068"/>
      <c r="P296" s="1068"/>
      <c r="Q296" s="1068"/>
      <c r="R296" s="1068"/>
      <c r="S296" s="1068"/>
      <c r="T296" s="1068"/>
      <c r="U296" s="705"/>
      <c r="V296" s="705"/>
      <c r="W296" s="705"/>
      <c r="X296" s="705"/>
      <c r="Y296" s="705"/>
      <c r="Z296" s="705"/>
      <c r="AA296" s="705"/>
      <c r="AB296" s="705"/>
      <c r="AC296" s="1069"/>
      <c r="AD296" s="1069"/>
      <c r="AE296" s="1069"/>
      <c r="AF296" s="1069"/>
      <c r="AG296" s="1068"/>
      <c r="AH296" s="1068">
        <f t="shared" si="21"/>
        <v>0</v>
      </c>
    </row>
    <row r="297" spans="1:35" outlineLevel="2">
      <c r="A297" s="999"/>
      <c r="B297" s="1955" t="s">
        <v>1761</v>
      </c>
      <c r="C297" s="1955"/>
      <c r="D297" s="1955"/>
      <c r="E297" s="1955"/>
      <c r="F297" s="1020">
        <f>+F298</f>
        <v>88623.503769999996</v>
      </c>
      <c r="G297" s="1019">
        <f>+G298</f>
        <v>1.7896261279278233E-2</v>
      </c>
      <c r="H297" s="1070"/>
      <c r="I297" s="1070"/>
      <c r="J297" s="1051"/>
      <c r="K297" s="1070"/>
      <c r="L297" s="1051"/>
      <c r="M297" s="1068"/>
      <c r="N297" s="1068"/>
      <c r="O297" s="1068"/>
      <c r="P297" s="1068"/>
      <c r="Q297" s="1068"/>
      <c r="R297" s="1068"/>
      <c r="S297" s="1068"/>
      <c r="T297" s="1068"/>
      <c r="U297" s="705"/>
      <c r="V297" s="705"/>
      <c r="W297" s="705"/>
      <c r="X297" s="705"/>
      <c r="Y297" s="705"/>
      <c r="Z297" s="705"/>
      <c r="AA297" s="705"/>
      <c r="AB297" s="705"/>
      <c r="AC297" s="1069"/>
      <c r="AD297" s="1069"/>
      <c r="AE297" s="1069"/>
      <c r="AF297" s="1069"/>
      <c r="AG297" s="1068"/>
      <c r="AH297" s="1068">
        <f t="shared" si="21"/>
        <v>0</v>
      </c>
    </row>
    <row r="298" spans="1:35" s="1010" customFormat="1" ht="14.25" customHeight="1" outlineLevel="3">
      <c r="A298" s="999"/>
      <c r="B298" s="999"/>
      <c r="C298" s="1956" t="s">
        <v>1760</v>
      </c>
      <c r="D298" s="1956"/>
      <c r="E298" s="1956"/>
      <c r="F298" s="998">
        <f>SUM(F299)</f>
        <v>88623.503769999996</v>
      </c>
      <c r="G298" s="997">
        <f>SUM(G299)</f>
        <v>1.7896261279278233E-2</v>
      </c>
      <c r="H298" s="1051"/>
      <c r="I298" s="1051"/>
      <c r="J298" s="1070"/>
      <c r="K298" s="1051"/>
      <c r="L298" s="1070"/>
      <c r="M298" s="1068"/>
      <c r="N298" s="1068"/>
      <c r="O298" s="1068"/>
      <c r="P298" s="1068"/>
      <c r="Q298" s="1068"/>
      <c r="R298" s="1068"/>
      <c r="S298" s="1068"/>
      <c r="T298" s="1068"/>
      <c r="U298" s="1073"/>
      <c r="V298" s="1073"/>
      <c r="W298" s="1073"/>
      <c r="X298" s="1073"/>
      <c r="Y298" s="1073"/>
      <c r="Z298" s="1073"/>
      <c r="AA298" s="1073"/>
      <c r="AB298" s="1073"/>
      <c r="AC298" s="1069"/>
      <c r="AD298" s="1069"/>
      <c r="AE298" s="1069"/>
      <c r="AF298" s="1069"/>
      <c r="AG298" s="1068"/>
      <c r="AH298" s="1068">
        <f t="shared" si="21"/>
        <v>0</v>
      </c>
    </row>
    <row r="299" spans="1:35" ht="14.25" customHeight="1" outlineLevel="4">
      <c r="A299" s="999"/>
      <c r="B299" s="999"/>
      <c r="C299" s="999"/>
      <c r="D299" s="1017">
        <f>+D295+1</f>
        <v>196</v>
      </c>
      <c r="E299" s="1014" t="s">
        <v>1759</v>
      </c>
      <c r="F299" s="988">
        <f>+SUM('[11]7'!$P$287:$P$292)+'[13]7'!$P$270</f>
        <v>88623.503769999996</v>
      </c>
      <c r="G299" s="987">
        <f>+F299/$F$332</f>
        <v>1.7896261279278233E-2</v>
      </c>
      <c r="H299" s="1051">
        <v>720000</v>
      </c>
      <c r="I299" s="1051">
        <v>720000</v>
      </c>
      <c r="J299" s="1051">
        <v>720000</v>
      </c>
      <c r="K299" s="1051">
        <v>720000</v>
      </c>
      <c r="L299" s="1051">
        <v>720000</v>
      </c>
      <c r="M299" s="1068">
        <v>720000</v>
      </c>
      <c r="N299" s="1068">
        <v>720000</v>
      </c>
      <c r="O299" s="1068">
        <v>720000</v>
      </c>
      <c r="P299" s="1068">
        <v>750000</v>
      </c>
      <c r="Q299" s="1068">
        <v>750000</v>
      </c>
      <c r="R299" s="1068">
        <v>750000</v>
      </c>
      <c r="S299" s="1068">
        <v>750000</v>
      </c>
      <c r="T299" s="1068">
        <v>750000</v>
      </c>
      <c r="U299" s="705">
        <v>750000</v>
      </c>
      <c r="V299" s="705">
        <v>750000</v>
      </c>
      <c r="W299" s="705">
        <v>750000</v>
      </c>
      <c r="X299" s="705">
        <v>750000</v>
      </c>
      <c r="Y299" s="705">
        <v>750000</v>
      </c>
      <c r="Z299" s="705">
        <v>750000</v>
      </c>
      <c r="AA299" s="705">
        <v>750000</v>
      </c>
      <c r="AB299" s="873">
        <v>800000</v>
      </c>
      <c r="AC299" s="1069">
        <v>800000</v>
      </c>
      <c r="AD299" s="1069">
        <v>800000</v>
      </c>
      <c r="AE299" s="1069">
        <v>800000</v>
      </c>
      <c r="AF299" s="1069">
        <v>800000</v>
      </c>
      <c r="AG299" s="1068"/>
      <c r="AH299" s="1068">
        <f t="shared" si="21"/>
        <v>0</v>
      </c>
      <c r="AI299" s="1067"/>
    </row>
    <row r="300" spans="1:35" outlineLevel="1">
      <c r="A300" s="1954" t="s">
        <v>1758</v>
      </c>
      <c r="B300" s="1954"/>
      <c r="C300" s="1954"/>
      <c r="D300" s="1954"/>
      <c r="E300" s="1954"/>
      <c r="F300" s="1023">
        <f>+F301+F306</f>
        <v>173509.74656</v>
      </c>
      <c r="G300" s="1022">
        <f>+G301+G306</f>
        <v>3.5037835640055602E-2</v>
      </c>
      <c r="H300" s="1051"/>
      <c r="I300" s="1051"/>
      <c r="J300" s="1070"/>
      <c r="K300" s="1051"/>
      <c r="L300" s="1070"/>
      <c r="M300" s="1068"/>
      <c r="N300" s="1068"/>
      <c r="O300" s="1068"/>
      <c r="P300" s="1068"/>
      <c r="Q300" s="1068"/>
      <c r="R300" s="1068"/>
      <c r="S300" s="1068"/>
      <c r="T300" s="1068"/>
      <c r="U300" s="705"/>
      <c r="V300" s="705"/>
      <c r="W300" s="705"/>
      <c r="X300" s="705"/>
      <c r="Y300" s="705"/>
      <c r="Z300" s="705"/>
      <c r="AA300" s="705"/>
      <c r="AB300" s="705"/>
      <c r="AC300" s="1069"/>
      <c r="AD300" s="1069"/>
      <c r="AE300" s="1069"/>
      <c r="AF300" s="1069"/>
      <c r="AG300" s="1068"/>
      <c r="AH300" s="1068">
        <f t="shared" si="21"/>
        <v>0</v>
      </c>
    </row>
    <row r="301" spans="1:35" outlineLevel="2">
      <c r="A301" s="999"/>
      <c r="B301" s="1955" t="s">
        <v>1757</v>
      </c>
      <c r="C301" s="1955"/>
      <c r="D301" s="1955"/>
      <c r="E301" s="1955"/>
      <c r="F301" s="1020">
        <f>+F302+F304</f>
        <v>74636.990129999991</v>
      </c>
      <c r="G301" s="1019">
        <f>+G302+G304</f>
        <v>1.5071882961566536E-2</v>
      </c>
      <c r="H301" s="1070"/>
      <c r="I301" s="1070"/>
      <c r="J301" s="1051"/>
      <c r="K301" s="1070"/>
      <c r="L301" s="1051"/>
      <c r="M301" s="1068"/>
      <c r="N301" s="1068"/>
      <c r="O301" s="1068"/>
      <c r="P301" s="1068"/>
      <c r="Q301" s="1068"/>
      <c r="R301" s="1068"/>
      <c r="S301" s="1068"/>
      <c r="T301" s="1068"/>
      <c r="U301" s="705"/>
      <c r="V301" s="705"/>
      <c r="W301" s="705"/>
      <c r="X301" s="705"/>
      <c r="Y301" s="705"/>
      <c r="Z301" s="705"/>
      <c r="AA301" s="705"/>
      <c r="AB301" s="705"/>
      <c r="AC301" s="1069"/>
      <c r="AD301" s="1069"/>
      <c r="AE301" s="1069"/>
      <c r="AF301" s="1069"/>
      <c r="AG301" s="1068"/>
      <c r="AH301" s="1068">
        <f t="shared" si="21"/>
        <v>0</v>
      </c>
    </row>
    <row r="302" spans="1:35" s="1010" customFormat="1" outlineLevel="3">
      <c r="A302" s="999"/>
      <c r="B302" s="999"/>
      <c r="C302" s="1956" t="s">
        <v>1756</v>
      </c>
      <c r="D302" s="1956"/>
      <c r="E302" s="1956"/>
      <c r="F302" s="998">
        <f>SUM(F303)</f>
        <v>64728.183799999999</v>
      </c>
      <c r="G302" s="997">
        <f>SUM(G303)</f>
        <v>1.3070939876449264E-2</v>
      </c>
      <c r="H302" s="1051"/>
      <c r="I302" s="1051"/>
      <c r="J302" s="1051"/>
      <c r="K302" s="1051"/>
      <c r="L302" s="1051"/>
      <c r="M302" s="1068"/>
      <c r="N302" s="1068"/>
      <c r="O302" s="1068"/>
      <c r="P302" s="1068"/>
      <c r="Q302" s="1068"/>
      <c r="R302" s="1068"/>
      <c r="S302" s="1068"/>
      <c r="T302" s="1068"/>
      <c r="U302" s="1073"/>
      <c r="V302" s="1073"/>
      <c r="W302" s="1073"/>
      <c r="X302" s="1073"/>
      <c r="Y302" s="1073"/>
      <c r="Z302" s="1073"/>
      <c r="AA302" s="1073"/>
      <c r="AB302" s="1073"/>
      <c r="AC302" s="1069"/>
      <c r="AD302" s="1069"/>
      <c r="AE302" s="1069"/>
      <c r="AF302" s="1069"/>
      <c r="AG302" s="1068"/>
      <c r="AH302" s="1068">
        <f t="shared" si="21"/>
        <v>0</v>
      </c>
    </row>
    <row r="303" spans="1:35" outlineLevel="4">
      <c r="A303" s="999"/>
      <c r="B303" s="999"/>
      <c r="C303" s="999"/>
      <c r="D303" s="1017">
        <f>D299+1</f>
        <v>197</v>
      </c>
      <c r="E303" s="1014" t="s">
        <v>1755</v>
      </c>
      <c r="F303" s="988">
        <f>+'[11]7'!$P$293</f>
        <v>64728.183799999999</v>
      </c>
      <c r="G303" s="987">
        <f>+F303/$F$332</f>
        <v>1.3070939876449264E-2</v>
      </c>
      <c r="H303" s="1051">
        <v>4467</v>
      </c>
      <c r="I303" s="1051">
        <v>4467</v>
      </c>
      <c r="J303" s="1051">
        <v>4467</v>
      </c>
      <c r="K303" s="1051">
        <v>4467</v>
      </c>
      <c r="L303" s="1051">
        <v>4467</v>
      </c>
      <c r="M303" s="1068">
        <v>4467</v>
      </c>
      <c r="N303" s="1068">
        <v>4467</v>
      </c>
      <c r="O303" s="1068">
        <v>4467</v>
      </c>
      <c r="P303" s="1068">
        <v>4467</v>
      </c>
      <c r="Q303" s="1068">
        <v>4467</v>
      </c>
      <c r="R303" s="1068">
        <v>4467</v>
      </c>
      <c r="S303" s="1068">
        <v>4467</v>
      </c>
      <c r="T303" s="1068">
        <v>4467</v>
      </c>
      <c r="U303" s="705">
        <v>4700</v>
      </c>
      <c r="V303" s="705">
        <v>4700</v>
      </c>
      <c r="W303" s="705">
        <v>4700</v>
      </c>
      <c r="X303" s="705">
        <v>4700</v>
      </c>
      <c r="Y303" s="705">
        <v>4700</v>
      </c>
      <c r="Z303" s="705">
        <v>4800</v>
      </c>
      <c r="AA303" s="705">
        <v>4800</v>
      </c>
      <c r="AB303" s="705">
        <v>4800</v>
      </c>
      <c r="AC303" s="1069">
        <v>4800</v>
      </c>
      <c r="AD303" s="1069">
        <v>4800</v>
      </c>
      <c r="AE303" s="1069">
        <v>5100</v>
      </c>
      <c r="AF303" s="1069">
        <v>5233.333333333333</v>
      </c>
      <c r="AG303" s="1068"/>
      <c r="AH303" s="1068">
        <f t="shared" si="21"/>
        <v>133.33333333333303</v>
      </c>
      <c r="AI303" s="1067"/>
    </row>
    <row r="304" spans="1:35" s="1010" customFormat="1" outlineLevel="3">
      <c r="A304" s="999"/>
      <c r="B304" s="999"/>
      <c r="C304" s="1956" t="s">
        <v>1754</v>
      </c>
      <c r="D304" s="1956"/>
      <c r="E304" s="1956"/>
      <c r="F304" s="998">
        <f>SUM(F305)</f>
        <v>9908.8063299999994</v>
      </c>
      <c r="G304" s="997">
        <f>SUM(G305)</f>
        <v>2.0009430851172729E-3</v>
      </c>
      <c r="H304" s="1051"/>
      <c r="I304" s="1051"/>
      <c r="J304" s="1070"/>
      <c r="K304" s="1051"/>
      <c r="L304" s="1070"/>
      <c r="M304" s="1068"/>
      <c r="N304" s="1068"/>
      <c r="O304" s="1068"/>
      <c r="P304" s="1068"/>
      <c r="Q304" s="1068"/>
      <c r="R304" s="1068"/>
      <c r="S304" s="1068"/>
      <c r="T304" s="1068"/>
      <c r="U304" s="1073"/>
      <c r="V304" s="1073"/>
      <c r="W304" s="1073"/>
      <c r="X304" s="1073"/>
      <c r="Y304" s="1073"/>
      <c r="Z304" s="1073"/>
      <c r="AA304" s="1073"/>
      <c r="AB304" s="1073"/>
      <c r="AC304" s="1069"/>
      <c r="AD304" s="1069"/>
      <c r="AE304" s="1069"/>
      <c r="AF304" s="1069"/>
      <c r="AG304" s="1068"/>
      <c r="AH304" s="1068">
        <f t="shared" si="21"/>
        <v>0</v>
      </c>
    </row>
    <row r="305" spans="1:35" outlineLevel="4">
      <c r="A305" s="999"/>
      <c r="B305" s="999"/>
      <c r="C305" s="999"/>
      <c r="D305" s="1017">
        <f>+D303+1</f>
        <v>198</v>
      </c>
      <c r="E305" s="1026" t="s">
        <v>1753</v>
      </c>
      <c r="F305" s="988">
        <f>+'[11]7'!$P$294</f>
        <v>9908.8063299999994</v>
      </c>
      <c r="G305" s="987">
        <f>+F305/$F$332</f>
        <v>2.0009430851172729E-3</v>
      </c>
      <c r="H305" s="1070">
        <v>3500</v>
      </c>
      <c r="I305" s="1070">
        <v>3500</v>
      </c>
      <c r="J305" s="1070">
        <v>3500</v>
      </c>
      <c r="K305" s="1070">
        <v>3500</v>
      </c>
      <c r="L305" s="1070">
        <v>3500</v>
      </c>
      <c r="M305" s="1070">
        <v>3500</v>
      </c>
      <c r="N305" s="1070">
        <v>3500</v>
      </c>
      <c r="O305" s="1070">
        <v>3500</v>
      </c>
      <c r="P305" s="1070">
        <v>3500</v>
      </c>
      <c r="Q305" s="1068">
        <v>4000</v>
      </c>
      <c r="R305" s="1068">
        <v>4000</v>
      </c>
      <c r="S305" s="1068">
        <v>4000</v>
      </c>
      <c r="T305" s="1068">
        <v>4000</v>
      </c>
      <c r="U305" s="1068">
        <v>4000</v>
      </c>
      <c r="V305" s="705">
        <v>4000</v>
      </c>
      <c r="W305" s="705">
        <v>4000</v>
      </c>
      <c r="X305" s="705">
        <v>4300</v>
      </c>
      <c r="Y305" s="705">
        <v>4300</v>
      </c>
      <c r="Z305" s="705">
        <v>4500</v>
      </c>
      <c r="AA305" s="705">
        <v>4500</v>
      </c>
      <c r="AB305" s="705">
        <v>4500</v>
      </c>
      <c r="AC305" s="1069">
        <v>4600</v>
      </c>
      <c r="AD305" s="1069">
        <v>4600</v>
      </c>
      <c r="AE305" s="1069">
        <v>4600</v>
      </c>
      <c r="AF305" s="1069">
        <v>4650</v>
      </c>
      <c r="AG305" s="1068"/>
      <c r="AH305" s="1068">
        <f t="shared" si="21"/>
        <v>50</v>
      </c>
      <c r="AI305" s="1067"/>
    </row>
    <row r="306" spans="1:35" outlineLevel="2">
      <c r="A306" s="999"/>
      <c r="B306" s="1955" t="s">
        <v>1752</v>
      </c>
      <c r="C306" s="1955"/>
      <c r="D306" s="1955"/>
      <c r="E306" s="1955"/>
      <c r="F306" s="1020">
        <f>+F307</f>
        <v>98872.756430000009</v>
      </c>
      <c r="G306" s="1019">
        <f>+G307</f>
        <v>1.9965952678489066E-2</v>
      </c>
      <c r="H306" s="1051"/>
      <c r="I306" s="1051"/>
      <c r="J306" s="1051"/>
      <c r="K306" s="1051"/>
      <c r="L306" s="1051"/>
      <c r="M306" s="1068"/>
      <c r="N306" s="1068"/>
      <c r="O306" s="1068"/>
      <c r="P306" s="1068"/>
      <c r="Q306" s="1068"/>
      <c r="R306" s="1068"/>
      <c r="S306" s="1068"/>
      <c r="T306" s="1068"/>
      <c r="U306" s="705"/>
      <c r="V306" s="705"/>
      <c r="W306" s="705"/>
      <c r="X306" s="705"/>
      <c r="Y306" s="705"/>
      <c r="Z306" s="705"/>
      <c r="AA306" s="705"/>
      <c r="AB306" s="705"/>
      <c r="AC306" s="1069"/>
      <c r="AD306" s="1069"/>
      <c r="AE306" s="1069"/>
      <c r="AF306" s="1069"/>
      <c r="AG306" s="1068"/>
      <c r="AH306" s="1068">
        <f t="shared" si="21"/>
        <v>0</v>
      </c>
    </row>
    <row r="307" spans="1:35" s="1010" customFormat="1" outlineLevel="3">
      <c r="A307" s="999"/>
      <c r="B307" s="999"/>
      <c r="C307" s="1956" t="s">
        <v>1751</v>
      </c>
      <c r="D307" s="1956"/>
      <c r="E307" s="1956"/>
      <c r="F307" s="998">
        <f>SUM(F308)</f>
        <v>98872.756430000009</v>
      </c>
      <c r="G307" s="997">
        <f>SUM(G308)</f>
        <v>1.9965952678489066E-2</v>
      </c>
      <c r="H307" s="1070"/>
      <c r="I307" s="1070"/>
      <c r="J307" s="1051"/>
      <c r="K307" s="1070"/>
      <c r="L307" s="1051"/>
      <c r="M307" s="1068"/>
      <c r="N307" s="1068"/>
      <c r="O307" s="1068"/>
      <c r="P307" s="1068"/>
      <c r="Q307" s="1068"/>
      <c r="R307" s="1068"/>
      <c r="S307" s="1068"/>
      <c r="T307" s="1068"/>
      <c r="U307" s="1073"/>
      <c r="V307" s="1073"/>
      <c r="W307" s="1073"/>
      <c r="X307" s="1073"/>
      <c r="Y307" s="1073"/>
      <c r="Z307" s="1073"/>
      <c r="AA307" s="1073"/>
      <c r="AB307" s="1073"/>
      <c r="AC307" s="1069"/>
      <c r="AD307" s="1069"/>
      <c r="AE307" s="1069"/>
      <c r="AF307" s="1069"/>
      <c r="AG307" s="1068"/>
      <c r="AH307" s="1068">
        <f t="shared" si="21"/>
        <v>0</v>
      </c>
    </row>
    <row r="308" spans="1:35" outlineLevel="4">
      <c r="A308" s="999"/>
      <c r="B308" s="999"/>
      <c r="C308" s="999"/>
      <c r="D308" s="1017">
        <f>+D305+1</f>
        <v>199</v>
      </c>
      <c r="E308" s="1014" t="s">
        <v>1750</v>
      </c>
      <c r="F308" s="988">
        <f>+SUM('[11]7'!$P$295:$P$297)+'[13]7'!$P$286</f>
        <v>98872.756430000009</v>
      </c>
      <c r="G308" s="987">
        <f>+F308/$F$332</f>
        <v>1.9965952678489066E-2</v>
      </c>
      <c r="H308" s="1051">
        <v>15000</v>
      </c>
      <c r="I308" s="1051">
        <v>15000</v>
      </c>
      <c r="J308" s="1051">
        <v>15000</v>
      </c>
      <c r="K308" s="1051">
        <v>15000</v>
      </c>
      <c r="L308" s="1051">
        <v>15000</v>
      </c>
      <c r="M308" s="1068">
        <v>15000</v>
      </c>
      <c r="N308" s="1068">
        <v>15000</v>
      </c>
      <c r="O308" s="1068">
        <v>15000</v>
      </c>
      <c r="P308" s="1068">
        <v>15000</v>
      </c>
      <c r="Q308" s="1068">
        <v>15000</v>
      </c>
      <c r="R308" s="1068">
        <v>15000</v>
      </c>
      <c r="S308" s="1068">
        <v>20000</v>
      </c>
      <c r="T308" s="1068">
        <v>20000</v>
      </c>
      <c r="U308" s="1068">
        <v>20000</v>
      </c>
      <c r="V308" s="705">
        <v>20000</v>
      </c>
      <c r="W308" s="705">
        <v>20000</v>
      </c>
      <c r="X308" s="705">
        <v>20000</v>
      </c>
      <c r="Y308" s="705">
        <v>20000</v>
      </c>
      <c r="Z308" s="705">
        <v>20000</v>
      </c>
      <c r="AA308" s="705">
        <v>20000</v>
      </c>
      <c r="AB308" s="705">
        <v>20000</v>
      </c>
      <c r="AC308" s="1069">
        <v>20000</v>
      </c>
      <c r="AD308" s="1069">
        <v>20000</v>
      </c>
      <c r="AE308" s="1069">
        <v>20000</v>
      </c>
      <c r="AF308" s="1069">
        <v>20000</v>
      </c>
      <c r="AG308" s="1068"/>
      <c r="AH308" s="1068">
        <f t="shared" si="21"/>
        <v>0</v>
      </c>
      <c r="AI308" s="1067"/>
    </row>
    <row r="309" spans="1:35" outlineLevel="1">
      <c r="A309" s="1025" t="s">
        <v>1749</v>
      </c>
      <c r="B309" s="1025"/>
      <c r="C309" s="1025"/>
      <c r="D309" s="1025"/>
      <c r="E309" s="1024"/>
      <c r="F309" s="1023">
        <f>+F310+F323+F329</f>
        <v>293365.80229799997</v>
      </c>
      <c r="G309" s="1022">
        <f>+G310+G323+G329</f>
        <v>5.9241068395981457E-2</v>
      </c>
      <c r="H309" s="1051"/>
      <c r="I309" s="1051"/>
      <c r="J309" s="1051"/>
      <c r="K309" s="1051"/>
      <c r="L309" s="1051"/>
      <c r="M309" s="1068"/>
      <c r="N309" s="1068"/>
      <c r="O309" s="1068"/>
      <c r="P309" s="1068"/>
      <c r="Q309" s="1068"/>
      <c r="R309" s="1068"/>
      <c r="S309" s="1068"/>
      <c r="T309" s="1068"/>
      <c r="U309" s="705"/>
      <c r="V309" s="705"/>
      <c r="W309" s="705"/>
      <c r="X309" s="705"/>
      <c r="Y309" s="705"/>
      <c r="Z309" s="705"/>
      <c r="AA309" s="705"/>
      <c r="AB309" s="705"/>
      <c r="AC309" s="1069"/>
      <c r="AD309" s="1069"/>
      <c r="AE309" s="1069"/>
      <c r="AF309" s="1069"/>
      <c r="AG309" s="1068"/>
      <c r="AH309" s="1068">
        <f t="shared" si="21"/>
        <v>0</v>
      </c>
    </row>
    <row r="310" spans="1:35" outlineLevel="2">
      <c r="A310" s="999"/>
      <c r="B310" s="1955" t="s">
        <v>1748</v>
      </c>
      <c r="C310" s="1955"/>
      <c r="D310" s="1955"/>
      <c r="E310" s="1955"/>
      <c r="F310" s="1020">
        <f>+F311+F315</f>
        <v>178416.48483799997</v>
      </c>
      <c r="G310" s="1019">
        <f>+G311+G315</f>
        <v>3.602868193383358E-2</v>
      </c>
      <c r="H310" s="1070"/>
      <c r="I310" s="1070"/>
      <c r="J310" s="1070"/>
      <c r="K310" s="1070"/>
      <c r="L310" s="1070"/>
      <c r="M310" s="1068"/>
      <c r="N310" s="1068"/>
      <c r="O310" s="1068"/>
      <c r="P310" s="1068"/>
      <c r="Q310" s="1068"/>
      <c r="R310" s="1068"/>
      <c r="S310" s="1068"/>
      <c r="T310" s="1068"/>
      <c r="U310" s="705"/>
      <c r="V310" s="705"/>
      <c r="W310" s="705"/>
      <c r="X310" s="705"/>
      <c r="Y310" s="705"/>
      <c r="Z310" s="705"/>
      <c r="AA310" s="705"/>
      <c r="AB310" s="705"/>
      <c r="AC310" s="1069"/>
      <c r="AD310" s="1069"/>
      <c r="AE310" s="1069"/>
      <c r="AF310" s="1069"/>
      <c r="AG310" s="1068"/>
      <c r="AH310" s="1068">
        <f t="shared" si="21"/>
        <v>0</v>
      </c>
    </row>
    <row r="311" spans="1:35" s="1010" customFormat="1" outlineLevel="3">
      <c r="A311" s="999"/>
      <c r="B311" s="999"/>
      <c r="C311" s="1956" t="s">
        <v>1747</v>
      </c>
      <c r="D311" s="1956"/>
      <c r="E311" s="1956"/>
      <c r="F311" s="998">
        <f>SUM(F312:F314)</f>
        <v>22670.583559999999</v>
      </c>
      <c r="G311" s="997">
        <f>SUM(G312:G314)</f>
        <v>4.5780032326008064E-3</v>
      </c>
      <c r="H311" s="1051"/>
      <c r="I311" s="1051"/>
      <c r="J311" s="1051"/>
      <c r="K311" s="1051"/>
      <c r="L311" s="1051"/>
      <c r="M311" s="1068"/>
      <c r="N311" s="1068"/>
      <c r="O311" s="1068"/>
      <c r="P311" s="1068"/>
      <c r="Q311" s="1068"/>
      <c r="R311" s="1068"/>
      <c r="S311" s="1068"/>
      <c r="T311" s="1068"/>
      <c r="U311" s="1073"/>
      <c r="V311" s="1073"/>
      <c r="W311" s="1073"/>
      <c r="X311" s="1073"/>
      <c r="Y311" s="1073"/>
      <c r="Z311" s="1073"/>
      <c r="AA311" s="1073"/>
      <c r="AB311" s="1073"/>
      <c r="AC311" s="1069"/>
      <c r="AD311" s="1069"/>
      <c r="AE311" s="1069"/>
      <c r="AF311" s="1069"/>
      <c r="AG311" s="1068"/>
      <c r="AH311" s="1068">
        <f t="shared" si="21"/>
        <v>0</v>
      </c>
    </row>
    <row r="312" spans="1:35" s="1010" customFormat="1" outlineLevel="4">
      <c r="A312" s="999"/>
      <c r="B312" s="999"/>
      <c r="C312" s="999"/>
      <c r="D312" s="1017">
        <f>+D308+1</f>
        <v>200</v>
      </c>
      <c r="E312" s="1014" t="s">
        <v>1746</v>
      </c>
      <c r="F312" s="988">
        <f>+'[11]7'!$P$303*0.5</f>
        <v>10153.79615</v>
      </c>
      <c r="G312" s="987">
        <f>+F312/$F$332</f>
        <v>2.0504153091094766E-3</v>
      </c>
      <c r="H312" s="1051">
        <v>1500</v>
      </c>
      <c r="I312" s="1051">
        <v>1500</v>
      </c>
      <c r="J312" s="1051">
        <v>1500</v>
      </c>
      <c r="K312" s="1051">
        <v>1500</v>
      </c>
      <c r="L312" s="1051">
        <v>1500</v>
      </c>
      <c r="M312" s="1068">
        <v>1500</v>
      </c>
      <c r="N312" s="1068">
        <v>1500</v>
      </c>
      <c r="O312" s="1068">
        <v>1500</v>
      </c>
      <c r="P312" s="1068">
        <v>1500</v>
      </c>
      <c r="Q312" s="1068">
        <v>1500</v>
      </c>
      <c r="R312" s="1068">
        <v>1500</v>
      </c>
      <c r="S312" s="1068">
        <v>1500</v>
      </c>
      <c r="T312" s="1068">
        <v>1500</v>
      </c>
      <c r="U312" s="1073">
        <v>1500</v>
      </c>
      <c r="V312" s="1073">
        <v>1800</v>
      </c>
      <c r="W312" s="1073">
        <v>1800</v>
      </c>
      <c r="X312" s="1073">
        <v>2000</v>
      </c>
      <c r="Y312" s="1073">
        <v>2000</v>
      </c>
      <c r="Z312" s="1073">
        <v>2000</v>
      </c>
      <c r="AA312" s="1073">
        <v>2200</v>
      </c>
      <c r="AB312" s="1073">
        <v>2200</v>
      </c>
      <c r="AC312" s="1069">
        <v>2500</v>
      </c>
      <c r="AD312" s="1069">
        <v>2500</v>
      </c>
      <c r="AE312" s="1069">
        <v>2500</v>
      </c>
      <c r="AF312" s="1069">
        <v>2500</v>
      </c>
      <c r="AG312" s="1068"/>
      <c r="AH312" s="1068">
        <f t="shared" si="21"/>
        <v>0</v>
      </c>
      <c r="AI312" s="1067"/>
    </row>
    <row r="313" spans="1:35" s="1010" customFormat="1" outlineLevel="4">
      <c r="A313" s="999"/>
      <c r="B313" s="999"/>
      <c r="C313" s="999"/>
      <c r="D313" s="1017">
        <f>+D312+1</f>
        <v>201</v>
      </c>
      <c r="E313" s="1014" t="s">
        <v>1745</v>
      </c>
      <c r="F313" s="988">
        <f>+'[11]7'!$P$303*0.5</f>
        <v>10153.79615</v>
      </c>
      <c r="G313" s="987">
        <f>+F313/$F$332</f>
        <v>2.0504153091094766E-3</v>
      </c>
      <c r="H313" s="1051">
        <v>2500</v>
      </c>
      <c r="I313" s="1051">
        <v>2500</v>
      </c>
      <c r="J313" s="1070">
        <v>2500</v>
      </c>
      <c r="K313" s="1051">
        <v>2500</v>
      </c>
      <c r="L313" s="1070">
        <v>2500</v>
      </c>
      <c r="M313" s="1068">
        <v>2500</v>
      </c>
      <c r="N313" s="1068">
        <v>2500</v>
      </c>
      <c r="O313" s="1068">
        <v>2500</v>
      </c>
      <c r="P313" s="1068">
        <v>2500</v>
      </c>
      <c r="Q313" s="1068">
        <v>2500</v>
      </c>
      <c r="R313" s="1068">
        <v>2500</v>
      </c>
      <c r="S313" s="1068">
        <v>2500</v>
      </c>
      <c r="T313" s="1068">
        <v>2500</v>
      </c>
      <c r="U313" s="1073">
        <v>2500</v>
      </c>
      <c r="V313" s="1073">
        <v>3000</v>
      </c>
      <c r="W313" s="1073">
        <v>3000</v>
      </c>
      <c r="X313" s="1073">
        <v>3200</v>
      </c>
      <c r="Y313" s="1073">
        <v>3500</v>
      </c>
      <c r="Z313" s="1073">
        <v>3500</v>
      </c>
      <c r="AA313" s="1073">
        <v>3500</v>
      </c>
      <c r="AB313" s="1073">
        <v>3500</v>
      </c>
      <c r="AC313" s="1069">
        <v>3500</v>
      </c>
      <c r="AD313" s="1069">
        <v>3500</v>
      </c>
      <c r="AE313" s="1069">
        <v>3500</v>
      </c>
      <c r="AF313" s="1069">
        <v>3500</v>
      </c>
      <c r="AG313" s="1068"/>
      <c r="AH313" s="1068">
        <f t="shared" si="21"/>
        <v>0</v>
      </c>
      <c r="AI313" s="1067"/>
    </row>
    <row r="314" spans="1:35" ht="14.25" customHeight="1" outlineLevel="4">
      <c r="A314" s="999"/>
      <c r="B314" s="999"/>
      <c r="C314" s="999"/>
      <c r="D314" s="1017">
        <f>+D313+1</f>
        <v>202</v>
      </c>
      <c r="E314" s="1014" t="s">
        <v>1744</v>
      </c>
      <c r="F314" s="988">
        <f>+'[11]7'!$P$304</f>
        <v>2362.9912600000002</v>
      </c>
      <c r="G314" s="987">
        <f>+F314/$F$332</f>
        <v>4.7717261438185284E-4</v>
      </c>
      <c r="H314" s="1070">
        <v>1500</v>
      </c>
      <c r="I314" s="1070">
        <v>1500</v>
      </c>
      <c r="J314" s="1051">
        <v>1500</v>
      </c>
      <c r="K314" s="1070">
        <v>1500</v>
      </c>
      <c r="L314" s="1051">
        <v>1500</v>
      </c>
      <c r="M314" s="1068">
        <v>1500</v>
      </c>
      <c r="N314" s="1068">
        <v>1500</v>
      </c>
      <c r="O314" s="1068">
        <v>1500</v>
      </c>
      <c r="P314" s="1068">
        <v>1500</v>
      </c>
      <c r="Q314" s="1068">
        <v>1500</v>
      </c>
      <c r="R314" s="1068">
        <v>1500</v>
      </c>
      <c r="S314" s="1068">
        <v>1500</v>
      </c>
      <c r="T314" s="1068">
        <v>1500</v>
      </c>
      <c r="U314" s="705">
        <v>1800</v>
      </c>
      <c r="V314" s="705">
        <v>1800</v>
      </c>
      <c r="W314" s="705">
        <v>1800</v>
      </c>
      <c r="X314" s="705">
        <v>1800</v>
      </c>
      <c r="Y314" s="705">
        <v>1800</v>
      </c>
      <c r="Z314" s="705">
        <v>1800</v>
      </c>
      <c r="AA314" s="705">
        <v>2000</v>
      </c>
      <c r="AB314" s="705">
        <v>2000</v>
      </c>
      <c r="AC314" s="1069">
        <v>2000</v>
      </c>
      <c r="AD314" s="1069">
        <v>2000</v>
      </c>
      <c r="AE314" s="1069">
        <v>2000</v>
      </c>
      <c r="AF314" s="1069">
        <v>2000</v>
      </c>
      <c r="AG314" s="1068"/>
      <c r="AH314" s="1068">
        <f t="shared" si="21"/>
        <v>0</v>
      </c>
      <c r="AI314" s="1067"/>
    </row>
    <row r="315" spans="1:35" s="1010" customFormat="1" ht="14.25" customHeight="1" outlineLevel="3">
      <c r="A315" s="999"/>
      <c r="B315" s="999"/>
      <c r="C315" s="1957" t="s">
        <v>1743</v>
      </c>
      <c r="D315" s="1957"/>
      <c r="E315" s="1957"/>
      <c r="F315" s="998">
        <f>SUM(F316:F322)</f>
        <v>155745.90127799998</v>
      </c>
      <c r="G315" s="997">
        <f>SUM(G316:G322)</f>
        <v>3.1450678701232776E-2</v>
      </c>
      <c r="H315" s="1070"/>
      <c r="I315" s="1070"/>
      <c r="J315" s="1051"/>
      <c r="K315" s="1070"/>
      <c r="L315" s="1051"/>
      <c r="M315" s="1068"/>
      <c r="N315" s="1068"/>
      <c r="O315" s="1068"/>
      <c r="P315" s="1068"/>
      <c r="Q315" s="1068"/>
      <c r="R315" s="1068"/>
      <c r="S315" s="1068"/>
      <c r="T315" s="1068"/>
      <c r="U315" s="1073"/>
      <c r="V315" s="1073"/>
      <c r="W315" s="1073"/>
      <c r="X315" s="1073"/>
      <c r="Y315" s="1073"/>
      <c r="Z315" s="1073"/>
      <c r="AA315" s="1073"/>
      <c r="AB315" s="1073"/>
      <c r="AC315" s="1069"/>
      <c r="AD315" s="1069"/>
      <c r="AE315" s="1069"/>
      <c r="AF315" s="1069"/>
      <c r="AG315" s="1068"/>
      <c r="AH315" s="1068">
        <f t="shared" si="21"/>
        <v>0</v>
      </c>
    </row>
    <row r="316" spans="1:35" s="1010" customFormat="1" outlineLevel="4">
      <c r="A316" s="999"/>
      <c r="B316" s="999"/>
      <c r="C316" s="999"/>
      <c r="D316" s="1015">
        <f>+D314+1</f>
        <v>203</v>
      </c>
      <c r="E316" s="1014" t="s">
        <v>1742</v>
      </c>
      <c r="F316" s="988">
        <f>+'[11]7'!$P$311+'[13]7'!$P$312-30000</f>
        <v>44898.430099999998</v>
      </c>
      <c r="G316" s="987">
        <f t="shared" ref="G316:G322" si="22">+F316/$F$332</f>
        <v>9.0666019951584041E-3</v>
      </c>
      <c r="H316" s="1070">
        <v>8500</v>
      </c>
      <c r="I316" s="1070">
        <v>8500</v>
      </c>
      <c r="J316" s="1070">
        <v>8500</v>
      </c>
      <c r="K316" s="1070">
        <v>8500</v>
      </c>
      <c r="L316" s="1070">
        <v>8500</v>
      </c>
      <c r="M316" s="1070">
        <v>8500</v>
      </c>
      <c r="N316" s="1070">
        <v>8500</v>
      </c>
      <c r="O316" s="1070">
        <v>8500</v>
      </c>
      <c r="P316" s="1070">
        <v>8500</v>
      </c>
      <c r="Q316" s="1070">
        <v>8500</v>
      </c>
      <c r="R316" s="1070">
        <v>8500</v>
      </c>
      <c r="S316" s="1070">
        <v>8500</v>
      </c>
      <c r="T316" s="1070">
        <v>8500</v>
      </c>
      <c r="U316" s="1070">
        <v>8500</v>
      </c>
      <c r="V316" s="1073">
        <v>8500</v>
      </c>
      <c r="W316" s="1073">
        <v>8500</v>
      </c>
      <c r="X316" s="1073">
        <v>8500</v>
      </c>
      <c r="Y316" s="1073">
        <v>8500</v>
      </c>
      <c r="Z316" s="1073">
        <v>9000</v>
      </c>
      <c r="AA316" s="1073">
        <v>9000</v>
      </c>
      <c r="AB316" s="1073">
        <v>9000</v>
      </c>
      <c r="AC316" s="1069">
        <v>10000</v>
      </c>
      <c r="AD316" s="1069">
        <v>10000</v>
      </c>
      <c r="AE316" s="1069">
        <v>10000</v>
      </c>
      <c r="AF316" s="1069">
        <v>10000</v>
      </c>
      <c r="AG316" s="1068"/>
      <c r="AH316" s="1068">
        <f t="shared" si="21"/>
        <v>0</v>
      </c>
      <c r="AI316" s="1067"/>
    </row>
    <row r="317" spans="1:35" s="1010" customFormat="1" outlineLevel="4">
      <c r="A317" s="999"/>
      <c r="B317" s="999"/>
      <c r="C317" s="999"/>
      <c r="D317" s="1015">
        <v>204</v>
      </c>
      <c r="E317" s="1016" t="s">
        <v>1741</v>
      </c>
      <c r="F317" s="988">
        <f>+SUM('[13]7'!$P$305:$P$309)+5000</f>
        <v>8008.8069100000002</v>
      </c>
      <c r="G317" s="987">
        <f t="shared" si="22"/>
        <v>1.6172651147783545E-3</v>
      </c>
      <c r="H317" s="1073">
        <v>7500</v>
      </c>
      <c r="I317" s="1073">
        <v>7500</v>
      </c>
      <c r="J317" s="1073">
        <v>7500</v>
      </c>
      <c r="K317" s="1073">
        <v>7500</v>
      </c>
      <c r="L317" s="1073">
        <v>7500</v>
      </c>
      <c r="M317" s="1073">
        <v>7500</v>
      </c>
      <c r="N317" s="1073">
        <v>7500</v>
      </c>
      <c r="O317" s="1073">
        <v>7500</v>
      </c>
      <c r="P317" s="1073">
        <v>7500</v>
      </c>
      <c r="Q317" s="1073">
        <v>7500</v>
      </c>
      <c r="R317" s="1073">
        <v>7500</v>
      </c>
      <c r="S317" s="1073">
        <v>7500</v>
      </c>
      <c r="T317" s="1073">
        <v>7500</v>
      </c>
      <c r="U317" s="1073">
        <v>7500</v>
      </c>
      <c r="V317" s="1073">
        <v>7500</v>
      </c>
      <c r="W317" s="1073">
        <v>7500</v>
      </c>
      <c r="X317" s="1073">
        <v>7500</v>
      </c>
      <c r="Y317" s="1073">
        <v>8000</v>
      </c>
      <c r="Z317" s="1073">
        <v>8000</v>
      </c>
      <c r="AA317" s="1073">
        <v>8000</v>
      </c>
      <c r="AB317" s="1073">
        <v>8000</v>
      </c>
      <c r="AC317" s="1069">
        <v>8000</v>
      </c>
      <c r="AD317" s="1069">
        <v>8000</v>
      </c>
      <c r="AE317" s="1069">
        <v>8000</v>
      </c>
      <c r="AF317" s="1069">
        <v>8000</v>
      </c>
      <c r="AG317" s="1068"/>
      <c r="AH317" s="1068">
        <f t="shared" si="21"/>
        <v>0</v>
      </c>
      <c r="AI317" s="1067"/>
    </row>
    <row r="318" spans="1:35" s="1010" customFormat="1" outlineLevel="4">
      <c r="A318" s="999"/>
      <c r="B318" s="999"/>
      <c r="C318" s="999"/>
      <c r="D318" s="1015">
        <f>+D317+1</f>
        <v>205</v>
      </c>
      <c r="E318" s="1014" t="s">
        <v>1740</v>
      </c>
      <c r="F318" s="988">
        <f>+'[11]7'!$P$300</f>
        <v>19194.724000000002</v>
      </c>
      <c r="G318" s="987">
        <f t="shared" si="22"/>
        <v>3.876102628250134E-3</v>
      </c>
      <c r="H318" s="1051">
        <v>600</v>
      </c>
      <c r="I318" s="1051">
        <v>600</v>
      </c>
      <c r="J318" s="1051">
        <v>600</v>
      </c>
      <c r="K318" s="1051">
        <v>600</v>
      </c>
      <c r="L318" s="1051">
        <v>600</v>
      </c>
      <c r="M318" s="1051">
        <v>600</v>
      </c>
      <c r="N318" s="1051">
        <v>600</v>
      </c>
      <c r="O318" s="1051">
        <v>600</v>
      </c>
      <c r="P318" s="1051">
        <v>600</v>
      </c>
      <c r="Q318" s="1051">
        <v>600</v>
      </c>
      <c r="R318" s="1051">
        <v>600</v>
      </c>
      <c r="S318" s="1051">
        <v>600</v>
      </c>
      <c r="T318" s="1051">
        <v>600</v>
      </c>
      <c r="U318" s="1051">
        <v>600</v>
      </c>
      <c r="V318" s="1073">
        <v>600</v>
      </c>
      <c r="W318" s="1073">
        <v>600</v>
      </c>
      <c r="X318" s="1073">
        <v>600</v>
      </c>
      <c r="Y318" s="1073">
        <v>600</v>
      </c>
      <c r="Z318" s="1073">
        <v>600</v>
      </c>
      <c r="AA318" s="1073">
        <v>600</v>
      </c>
      <c r="AB318" s="1073">
        <v>600</v>
      </c>
      <c r="AC318" s="1069">
        <v>550</v>
      </c>
      <c r="AD318" s="1069">
        <v>550</v>
      </c>
      <c r="AE318" s="1069">
        <v>550</v>
      </c>
      <c r="AF318" s="1069">
        <v>576.66666666666663</v>
      </c>
      <c r="AG318" s="1068"/>
      <c r="AH318" s="1068">
        <f t="shared" si="21"/>
        <v>26.666666666666629</v>
      </c>
      <c r="AI318" s="1067"/>
    </row>
    <row r="319" spans="1:35" s="1010" customFormat="1" outlineLevel="4">
      <c r="A319" s="999"/>
      <c r="B319" s="999"/>
      <c r="C319" s="999"/>
      <c r="D319" s="1015">
        <f>+D318+1</f>
        <v>206</v>
      </c>
      <c r="E319" s="1014" t="s">
        <v>1739</v>
      </c>
      <c r="F319" s="988">
        <f>+'[11]7'!$P$313</f>
        <v>24449.333000000002</v>
      </c>
      <c r="G319" s="987">
        <f t="shared" si="22"/>
        <v>4.9371964869233198E-3</v>
      </c>
      <c r="H319" s="1070">
        <v>2367</v>
      </c>
      <c r="I319" s="1070">
        <v>2333</v>
      </c>
      <c r="J319" s="1070">
        <v>2367</v>
      </c>
      <c r="K319" s="1070">
        <v>2367</v>
      </c>
      <c r="L319" s="1070">
        <v>2367</v>
      </c>
      <c r="M319" s="1068">
        <v>2367</v>
      </c>
      <c r="N319" s="1068">
        <v>2367</v>
      </c>
      <c r="O319" s="1068">
        <v>2367</v>
      </c>
      <c r="P319" s="1068">
        <v>2367</v>
      </c>
      <c r="Q319" s="1068">
        <v>2367</v>
      </c>
      <c r="R319" s="1068">
        <v>2367</v>
      </c>
      <c r="S319" s="1068">
        <v>2500</v>
      </c>
      <c r="T319" s="1068">
        <v>2500</v>
      </c>
      <c r="U319" s="1073">
        <v>2600</v>
      </c>
      <c r="V319" s="1073">
        <v>2500</v>
      </c>
      <c r="W319" s="1073">
        <v>2700</v>
      </c>
      <c r="X319" s="1073">
        <v>2700</v>
      </c>
      <c r="Y319" s="1073">
        <v>2700</v>
      </c>
      <c r="Z319" s="1073">
        <v>2800</v>
      </c>
      <c r="AA319" s="1073">
        <v>2800</v>
      </c>
      <c r="AB319" s="1073">
        <v>2800</v>
      </c>
      <c r="AC319" s="1069">
        <v>2800</v>
      </c>
      <c r="AD319" s="1069">
        <v>2800</v>
      </c>
      <c r="AE319" s="1069">
        <v>2800</v>
      </c>
      <c r="AF319" s="1069">
        <v>2800</v>
      </c>
      <c r="AG319" s="1068"/>
      <c r="AH319" s="1068">
        <f t="shared" si="21"/>
        <v>0</v>
      </c>
      <c r="AI319" s="1067"/>
    </row>
    <row r="320" spans="1:35" s="1010" customFormat="1" outlineLevel="4">
      <c r="A320" s="999"/>
      <c r="B320" s="999"/>
      <c r="C320" s="999"/>
      <c r="D320" s="1015">
        <f>+D319+1</f>
        <v>207</v>
      </c>
      <c r="E320" s="1014" t="s">
        <v>1738</v>
      </c>
      <c r="F320" s="988">
        <f>+'[11]7'!$P$299+'[13]7'!$P$298</f>
        <v>23081.540699999998</v>
      </c>
      <c r="G320" s="987">
        <f t="shared" si="22"/>
        <v>4.6609902060239274E-3</v>
      </c>
      <c r="H320" s="1070">
        <v>1200</v>
      </c>
      <c r="I320" s="1070">
        <v>1267</v>
      </c>
      <c r="J320" s="1070">
        <v>1200</v>
      </c>
      <c r="K320" s="1070">
        <v>1200</v>
      </c>
      <c r="L320" s="1070">
        <v>1200</v>
      </c>
      <c r="M320" s="1068">
        <v>1200</v>
      </c>
      <c r="N320" s="1068">
        <v>1200</v>
      </c>
      <c r="O320" s="1068">
        <v>1200</v>
      </c>
      <c r="P320" s="1068">
        <v>1200</v>
      </c>
      <c r="Q320" s="1068">
        <v>1200</v>
      </c>
      <c r="R320" s="1068">
        <v>1200</v>
      </c>
      <c r="S320" s="1068">
        <v>1200</v>
      </c>
      <c r="T320" s="1068">
        <v>1200</v>
      </c>
      <c r="U320" s="1073">
        <v>1200</v>
      </c>
      <c r="V320" s="1073">
        <v>1200</v>
      </c>
      <c r="W320" s="1073">
        <v>1200</v>
      </c>
      <c r="X320" s="1073">
        <v>1200</v>
      </c>
      <c r="Y320" s="1073">
        <v>1200</v>
      </c>
      <c r="Z320" s="1073">
        <v>1200</v>
      </c>
      <c r="AA320" s="1073">
        <v>1200</v>
      </c>
      <c r="AB320" s="1073">
        <v>1200</v>
      </c>
      <c r="AC320" s="1069">
        <v>1320</v>
      </c>
      <c r="AD320" s="1069">
        <v>1320</v>
      </c>
      <c r="AE320" s="1069">
        <v>1320</v>
      </c>
      <c r="AF320" s="1069">
        <v>1320</v>
      </c>
      <c r="AG320" s="1068"/>
      <c r="AH320" s="1068">
        <f t="shared" si="21"/>
        <v>0</v>
      </c>
      <c r="AI320" s="1067"/>
    </row>
    <row r="321" spans="1:35" outlineLevel="4">
      <c r="A321" s="999"/>
      <c r="B321" s="999"/>
      <c r="C321" s="999"/>
      <c r="D321" s="1015">
        <f>+D320+1</f>
        <v>208</v>
      </c>
      <c r="E321" s="1014" t="s">
        <v>1737</v>
      </c>
      <c r="F321" s="988">
        <f>+'[11]7'!$P$301</f>
        <v>15989.9085</v>
      </c>
      <c r="G321" s="987">
        <f t="shared" si="22"/>
        <v>3.2289355326145432E-3</v>
      </c>
      <c r="H321" s="1070">
        <v>350</v>
      </c>
      <c r="I321" s="1070">
        <v>350</v>
      </c>
      <c r="J321" s="1070">
        <v>350</v>
      </c>
      <c r="K321" s="1070">
        <v>350</v>
      </c>
      <c r="L321" s="1070">
        <v>350</v>
      </c>
      <c r="M321" s="1068">
        <v>400</v>
      </c>
      <c r="N321" s="1068">
        <v>400</v>
      </c>
      <c r="O321" s="1068">
        <v>400</v>
      </c>
      <c r="P321" s="1068">
        <v>400</v>
      </c>
      <c r="Q321" s="1068">
        <v>400</v>
      </c>
      <c r="R321" s="1068">
        <v>400</v>
      </c>
      <c r="S321" s="1068">
        <v>400</v>
      </c>
      <c r="T321" s="1068">
        <v>400</v>
      </c>
      <c r="U321" s="705">
        <v>400</v>
      </c>
      <c r="V321" s="705">
        <v>450</v>
      </c>
      <c r="W321" s="705">
        <v>450</v>
      </c>
      <c r="X321" s="705">
        <v>450</v>
      </c>
      <c r="Y321" s="705">
        <v>450</v>
      </c>
      <c r="Z321" s="705">
        <v>450</v>
      </c>
      <c r="AA321" s="705">
        <v>450</v>
      </c>
      <c r="AB321" s="705">
        <v>450</v>
      </c>
      <c r="AC321" s="1069">
        <v>450</v>
      </c>
      <c r="AD321" s="1069">
        <v>435</v>
      </c>
      <c r="AE321" s="1069">
        <v>435</v>
      </c>
      <c r="AF321" s="1069">
        <v>435</v>
      </c>
      <c r="AG321" s="1068"/>
      <c r="AH321" s="1068">
        <f t="shared" si="21"/>
        <v>0</v>
      </c>
      <c r="AI321" s="1067"/>
    </row>
    <row r="322" spans="1:35" ht="25.5" outlineLevel="4">
      <c r="A322" s="999"/>
      <c r="B322" s="999"/>
      <c r="C322" s="999"/>
      <c r="D322" s="1013">
        <f>+D321+1</f>
        <v>209</v>
      </c>
      <c r="E322" s="1012" t="s">
        <v>1736</v>
      </c>
      <c r="F322" s="988">
        <f>+'[11]7'!$P$302+'[13]7'!$P$310</f>
        <v>20123.158068000001</v>
      </c>
      <c r="G322" s="987">
        <f t="shared" si="22"/>
        <v>4.0635867374840965E-3</v>
      </c>
      <c r="H322" s="1070">
        <v>2200</v>
      </c>
      <c r="I322" s="1070">
        <v>2200</v>
      </c>
      <c r="J322" s="1070">
        <v>2200</v>
      </c>
      <c r="K322" s="1070">
        <v>2200</v>
      </c>
      <c r="L322" s="1070">
        <v>2200</v>
      </c>
      <c r="M322" s="1070">
        <v>2200</v>
      </c>
      <c r="N322" s="1070">
        <v>2200</v>
      </c>
      <c r="O322" s="1070">
        <v>2200</v>
      </c>
      <c r="P322" s="1070">
        <v>2200</v>
      </c>
      <c r="Q322" s="1070">
        <v>2200</v>
      </c>
      <c r="R322" s="1070">
        <v>2200</v>
      </c>
      <c r="S322" s="1070">
        <v>2200</v>
      </c>
      <c r="T322" s="1070">
        <v>2200</v>
      </c>
      <c r="U322" s="1070">
        <v>2200</v>
      </c>
      <c r="V322" s="705">
        <v>2200</v>
      </c>
      <c r="W322" s="705">
        <v>2200</v>
      </c>
      <c r="X322" s="705">
        <v>2300</v>
      </c>
      <c r="Y322" s="705">
        <v>2300</v>
      </c>
      <c r="Z322" s="705">
        <v>2300</v>
      </c>
      <c r="AA322" s="705">
        <v>2300</v>
      </c>
      <c r="AB322" s="705">
        <v>2400</v>
      </c>
      <c r="AC322" s="1069">
        <v>2400</v>
      </c>
      <c r="AD322" s="1069">
        <v>2400</v>
      </c>
      <c r="AE322" s="1069">
        <v>2400</v>
      </c>
      <c r="AF322" s="1069">
        <v>2466.6666666666665</v>
      </c>
      <c r="AG322" s="1068"/>
      <c r="AH322" s="1068">
        <f t="shared" si="21"/>
        <v>66.666666666666515</v>
      </c>
      <c r="AI322" s="1067"/>
    </row>
    <row r="323" spans="1:35" s="1010" customFormat="1" outlineLevel="2">
      <c r="A323" s="999"/>
      <c r="B323" s="1955" t="s">
        <v>1735</v>
      </c>
      <c r="C323" s="1955"/>
      <c r="D323" s="1955"/>
      <c r="E323" s="1955"/>
      <c r="F323" s="1020">
        <f>+F324+F327</f>
        <v>21400.803763</v>
      </c>
      <c r="G323" s="1019">
        <f>+G324+G327</f>
        <v>4.3215891883847694E-3</v>
      </c>
      <c r="H323" s="1070"/>
      <c r="I323" s="1070"/>
      <c r="J323" s="1070"/>
      <c r="K323" s="1070"/>
      <c r="L323" s="1070"/>
      <c r="M323" s="1068"/>
      <c r="N323" s="1068"/>
      <c r="O323" s="1068"/>
      <c r="P323" s="1068"/>
      <c r="Q323" s="1068"/>
      <c r="R323" s="1068"/>
      <c r="S323" s="1068"/>
      <c r="T323" s="1068"/>
      <c r="U323" s="1073"/>
      <c r="V323" s="1073"/>
      <c r="W323" s="1073"/>
      <c r="X323" s="1073"/>
      <c r="Y323" s="1073"/>
      <c r="Z323" s="1073"/>
      <c r="AA323" s="1073"/>
      <c r="AB323" s="1073"/>
      <c r="AC323" s="1069"/>
      <c r="AD323" s="1069"/>
      <c r="AE323" s="1069"/>
      <c r="AF323" s="1069"/>
      <c r="AG323" s="1068"/>
      <c r="AH323" s="1068">
        <f t="shared" si="21"/>
        <v>0</v>
      </c>
    </row>
    <row r="324" spans="1:35" s="1010" customFormat="1" outlineLevel="3">
      <c r="A324" s="999"/>
      <c r="B324" s="999"/>
      <c r="C324" s="1956" t="s">
        <v>1734</v>
      </c>
      <c r="D324" s="1956"/>
      <c r="E324" s="1956"/>
      <c r="F324" s="998">
        <f>SUM(F325:F326)</f>
        <v>4755.8041599999997</v>
      </c>
      <c r="G324" s="997">
        <f>SUM(G325:G326)</f>
        <v>9.6036728655326945E-4</v>
      </c>
      <c r="H324" s="1070"/>
      <c r="I324" s="1070"/>
      <c r="J324" s="1070"/>
      <c r="K324" s="1070"/>
      <c r="L324" s="1070"/>
      <c r="M324" s="1068"/>
      <c r="N324" s="1068"/>
      <c r="O324" s="1068"/>
      <c r="P324" s="1068"/>
      <c r="Q324" s="1068"/>
      <c r="R324" s="1068"/>
      <c r="S324" s="1068"/>
      <c r="T324" s="1068"/>
      <c r="U324" s="1073"/>
      <c r="V324" s="1073"/>
      <c r="W324" s="1073"/>
      <c r="X324" s="1073"/>
      <c r="Y324" s="1073"/>
      <c r="Z324" s="1073"/>
      <c r="AA324" s="1073"/>
      <c r="AB324" s="1073"/>
      <c r="AC324" s="1069"/>
      <c r="AD324" s="1069"/>
      <c r="AE324" s="1069"/>
      <c r="AF324" s="1069"/>
      <c r="AG324" s="1068"/>
      <c r="AH324" s="1068">
        <f t="shared" si="21"/>
        <v>0</v>
      </c>
    </row>
    <row r="325" spans="1:35" outlineLevel="4">
      <c r="A325" s="999"/>
      <c r="B325" s="999"/>
      <c r="C325" s="999"/>
      <c r="D325" s="1015">
        <f>+D322+1</f>
        <v>210</v>
      </c>
      <c r="E325" s="1014" t="s">
        <v>1733</v>
      </c>
      <c r="F325" s="988">
        <f>+'[11]7'!$P$314*0.5+'[11]7'!$P$316*0.5+2515.72</f>
        <v>2913.8035949999999</v>
      </c>
      <c r="G325" s="987">
        <f>+F325/$F$332</f>
        <v>5.8840136345717647E-4</v>
      </c>
      <c r="H325" s="1051">
        <v>148000</v>
      </c>
      <c r="I325" s="1051">
        <v>155000</v>
      </c>
      <c r="J325" s="1070">
        <v>155000</v>
      </c>
      <c r="K325" s="1051">
        <v>155000</v>
      </c>
      <c r="L325" s="1070">
        <v>155000</v>
      </c>
      <c r="M325" s="1068">
        <v>155000</v>
      </c>
      <c r="N325" s="1068">
        <v>155000</v>
      </c>
      <c r="O325" s="1068">
        <v>155000</v>
      </c>
      <c r="P325" s="1068">
        <v>155000</v>
      </c>
      <c r="Q325" s="1068">
        <v>155000</v>
      </c>
      <c r="R325" s="1068">
        <v>155000</v>
      </c>
      <c r="S325" s="1068">
        <v>160000</v>
      </c>
      <c r="T325" s="1068">
        <v>160000</v>
      </c>
      <c r="U325" s="705">
        <v>160000</v>
      </c>
      <c r="V325" s="705">
        <v>170000</v>
      </c>
      <c r="W325" s="705">
        <v>170000</v>
      </c>
      <c r="X325" s="705">
        <v>180000</v>
      </c>
      <c r="Y325" s="705">
        <v>180000</v>
      </c>
      <c r="Z325" s="705">
        <v>180000</v>
      </c>
      <c r="AA325" s="705">
        <v>180000</v>
      </c>
      <c r="AB325" s="705">
        <v>183000</v>
      </c>
      <c r="AC325" s="1069">
        <v>183000</v>
      </c>
      <c r="AD325" s="1069">
        <v>185000</v>
      </c>
      <c r="AE325" s="1069">
        <v>185000</v>
      </c>
      <c r="AF325" s="1069">
        <v>185000</v>
      </c>
      <c r="AG325" s="1068"/>
      <c r="AH325" s="1068">
        <f t="shared" si="21"/>
        <v>0</v>
      </c>
      <c r="AI325" s="1067"/>
    </row>
    <row r="326" spans="1:35" s="1010" customFormat="1" outlineLevel="4">
      <c r="A326" s="999"/>
      <c r="B326" s="999"/>
      <c r="C326" s="999"/>
      <c r="D326" s="1015">
        <f>+D325+1</f>
        <v>211</v>
      </c>
      <c r="E326" s="1012" t="s">
        <v>1732</v>
      </c>
      <c r="F326" s="988">
        <f>+'[11]7'!$P$314*0.5+'[11]7'!$P$316*0.5+'[13]7'!$P$317+'[13]7'!$P$315</f>
        <v>1842.0005649999998</v>
      </c>
      <c r="G326" s="987">
        <f>+F326/$F$332</f>
        <v>3.7196592309609298E-4</v>
      </c>
      <c r="H326" s="1051">
        <v>98000</v>
      </c>
      <c r="I326" s="1051">
        <v>98000</v>
      </c>
      <c r="J326" s="1070">
        <v>98000</v>
      </c>
      <c r="K326" s="1051">
        <v>98000</v>
      </c>
      <c r="L326" s="1070">
        <v>98000</v>
      </c>
      <c r="M326" s="1068">
        <v>98000</v>
      </c>
      <c r="N326" s="1068">
        <v>98000</v>
      </c>
      <c r="O326" s="1068">
        <v>98000</v>
      </c>
      <c r="P326" s="1068">
        <v>98000</v>
      </c>
      <c r="Q326" s="1068">
        <v>98000</v>
      </c>
      <c r="R326" s="1068">
        <v>98000</v>
      </c>
      <c r="S326" s="1068">
        <v>98000</v>
      </c>
      <c r="T326" s="1068">
        <v>98000</v>
      </c>
      <c r="U326" s="1073">
        <v>98000</v>
      </c>
      <c r="V326" s="1073">
        <v>110000</v>
      </c>
      <c r="W326" s="1073">
        <v>110000</v>
      </c>
      <c r="X326" s="1073">
        <v>120000</v>
      </c>
      <c r="Y326" s="1073">
        <v>130000</v>
      </c>
      <c r="Z326" s="1073">
        <v>130000</v>
      </c>
      <c r="AA326" s="1073">
        <v>130000</v>
      </c>
      <c r="AB326" s="1073">
        <v>130000</v>
      </c>
      <c r="AC326" s="1069">
        <v>130000</v>
      </c>
      <c r="AD326" s="1069">
        <v>135000</v>
      </c>
      <c r="AE326" s="1069">
        <v>135000</v>
      </c>
      <c r="AF326" s="1069">
        <v>135000</v>
      </c>
      <c r="AG326" s="1068"/>
      <c r="AH326" s="1068">
        <f t="shared" si="21"/>
        <v>0</v>
      </c>
      <c r="AI326" s="1067"/>
    </row>
    <row r="327" spans="1:35" outlineLevel="3">
      <c r="A327" s="999"/>
      <c r="B327" s="999"/>
      <c r="C327" s="1956" t="s">
        <v>1731</v>
      </c>
      <c r="D327" s="1956"/>
      <c r="E327" s="1956"/>
      <c r="F327" s="998">
        <f>SUM(F328)</f>
        <v>16644.999603</v>
      </c>
      <c r="G327" s="997">
        <f>SUM(G328)</f>
        <v>3.3612219018314998E-3</v>
      </c>
      <c r="H327" s="1070"/>
      <c r="I327" s="1070"/>
      <c r="J327" s="1070"/>
      <c r="K327" s="1070"/>
      <c r="L327" s="1070"/>
      <c r="M327" s="1068"/>
      <c r="N327" s="1068"/>
      <c r="O327" s="1068"/>
      <c r="P327" s="1068"/>
      <c r="Q327" s="1068"/>
      <c r="R327" s="1068"/>
      <c r="S327" s="1068"/>
      <c r="T327" s="1068"/>
      <c r="U327" s="705"/>
      <c r="V327" s="705"/>
      <c r="W327" s="705"/>
      <c r="X327" s="705"/>
      <c r="Y327" s="705"/>
      <c r="Z327" s="705"/>
      <c r="AA327" s="705"/>
      <c r="AB327" s="705"/>
      <c r="AC327" s="1069"/>
      <c r="AD327" s="1069"/>
      <c r="AE327" s="1069"/>
      <c r="AF327" s="1069"/>
      <c r="AG327" s="1068"/>
      <c r="AH327" s="1068">
        <f t="shared" si="21"/>
        <v>0</v>
      </c>
    </row>
    <row r="328" spans="1:35" ht="25.5" outlineLevel="4">
      <c r="A328" s="999"/>
      <c r="B328" s="999"/>
      <c r="C328" s="999"/>
      <c r="D328" s="1015">
        <f>D326+1</f>
        <v>212</v>
      </c>
      <c r="E328" s="1014" t="s">
        <v>1730</v>
      </c>
      <c r="F328" s="988">
        <f>+SUM('[11]7'!$P$318,'[11]7'!$P$320:$P$321,'[11]7'!$P$319)+'[13]7'!$P$322+'[13]7'!$P$323+'[13]7'!$P$325</f>
        <v>16644.999603</v>
      </c>
      <c r="G328" s="987">
        <f>+F328/$F$332</f>
        <v>3.3612219018314998E-3</v>
      </c>
      <c r="H328" s="1072">
        <v>7500</v>
      </c>
      <c r="I328" s="1072">
        <v>7500</v>
      </c>
      <c r="J328" s="1070">
        <v>7500</v>
      </c>
      <c r="K328" s="1070">
        <v>7500</v>
      </c>
      <c r="L328" s="1070">
        <v>7500</v>
      </c>
      <c r="M328" s="1068">
        <v>7500</v>
      </c>
      <c r="N328" s="1068">
        <v>7500</v>
      </c>
      <c r="O328" s="1068">
        <v>7500</v>
      </c>
      <c r="P328" s="1068">
        <v>7500</v>
      </c>
      <c r="Q328" s="1068">
        <v>8000</v>
      </c>
      <c r="R328" s="1068">
        <v>8000</v>
      </c>
      <c r="S328" s="1068">
        <v>8000</v>
      </c>
      <c r="T328" s="1068">
        <v>8000</v>
      </c>
      <c r="U328" s="705">
        <v>8000</v>
      </c>
      <c r="V328" s="705">
        <v>8500</v>
      </c>
      <c r="W328" s="705">
        <v>10000</v>
      </c>
      <c r="X328" s="705">
        <v>10000</v>
      </c>
      <c r="Y328" s="705">
        <v>10000</v>
      </c>
      <c r="Z328" s="705">
        <v>10000</v>
      </c>
      <c r="AA328" s="705">
        <v>10000</v>
      </c>
      <c r="AB328" s="705">
        <v>12000</v>
      </c>
      <c r="AC328" s="1069">
        <v>12000</v>
      </c>
      <c r="AD328" s="1069">
        <v>12000</v>
      </c>
      <c r="AE328" s="1069">
        <v>12000</v>
      </c>
      <c r="AF328" s="1069">
        <v>12000</v>
      </c>
      <c r="AG328" s="1068"/>
      <c r="AH328" s="1068">
        <f t="shared" si="21"/>
        <v>0</v>
      </c>
      <c r="AI328" s="1067"/>
    </row>
    <row r="329" spans="1:35" outlineLevel="2">
      <c r="A329" s="999"/>
      <c r="B329" s="1955" t="s">
        <v>1729</v>
      </c>
      <c r="C329" s="1955"/>
      <c r="D329" s="1955"/>
      <c r="E329" s="1955"/>
      <c r="F329" s="1020">
        <f>+F330</f>
        <v>93548.513697000002</v>
      </c>
      <c r="G329" s="1019">
        <f>+G330</f>
        <v>1.889079727376311E-2</v>
      </c>
      <c r="H329" s="1071"/>
      <c r="I329" s="1071"/>
      <c r="J329" s="1051"/>
      <c r="K329" s="1051"/>
      <c r="L329" s="1051"/>
      <c r="M329" s="1068"/>
      <c r="N329" s="1068"/>
      <c r="O329" s="1068"/>
      <c r="P329" s="1068"/>
      <c r="Q329" s="1068"/>
      <c r="R329" s="1068"/>
      <c r="S329" s="1068"/>
      <c r="T329" s="1068"/>
      <c r="U329" s="705"/>
      <c r="V329" s="705"/>
      <c r="W329" s="705"/>
      <c r="X329" s="705"/>
      <c r="Y329" s="705"/>
      <c r="Z329" s="705"/>
      <c r="AA329" s="705"/>
      <c r="AB329" s="705"/>
      <c r="AC329" s="1069"/>
      <c r="AD329" s="1069"/>
      <c r="AE329" s="1069"/>
      <c r="AF329" s="1069"/>
      <c r="AG329" s="1068"/>
      <c r="AH329" s="1068">
        <f t="shared" si="21"/>
        <v>0</v>
      </c>
    </row>
    <row r="330" spans="1:35" outlineLevel="3">
      <c r="A330" s="999"/>
      <c r="B330" s="999"/>
      <c r="C330" s="1956" t="s">
        <v>1728</v>
      </c>
      <c r="D330" s="1956"/>
      <c r="E330" s="1956"/>
      <c r="F330" s="998">
        <f>SUM(F331)</f>
        <v>93548.513697000002</v>
      </c>
      <c r="G330" s="997">
        <f>SUM(G331)</f>
        <v>1.889079727376311E-2</v>
      </c>
      <c r="H330" s="1072"/>
      <c r="I330" s="1072"/>
      <c r="J330" s="1051"/>
      <c r="K330" s="1070"/>
      <c r="L330" s="1051"/>
      <c r="M330" s="1068"/>
      <c r="N330" s="1068"/>
      <c r="O330" s="1068"/>
      <c r="P330" s="1068"/>
      <c r="Q330" s="1068"/>
      <c r="R330" s="1068"/>
      <c r="S330" s="1068"/>
      <c r="T330" s="1068"/>
      <c r="U330" s="705"/>
      <c r="V330" s="705"/>
      <c r="W330" s="705"/>
      <c r="X330" s="705"/>
      <c r="Y330" s="705"/>
      <c r="Z330" s="705"/>
      <c r="AA330" s="705"/>
      <c r="AB330" s="705"/>
      <c r="AC330" s="1069"/>
      <c r="AD330" s="1069"/>
      <c r="AE330" s="1069"/>
      <c r="AF330" s="1069"/>
      <c r="AG330" s="1068"/>
      <c r="AH330" s="1068">
        <f t="shared" si="21"/>
        <v>0</v>
      </c>
    </row>
    <row r="331" spans="1:35" ht="25.5" outlineLevel="4">
      <c r="A331" s="995"/>
      <c r="B331" s="995"/>
      <c r="C331" s="995"/>
      <c r="D331" s="994">
        <f>+D328+1</f>
        <v>213</v>
      </c>
      <c r="E331" s="993" t="s">
        <v>1727</v>
      </c>
      <c r="F331" s="988">
        <f>+'[11]7'!$P$333+SUM('[13]7'!$P$334:$P$336,'[13]7'!$P$338)+'[13]7'!$P$332</f>
        <v>93548.513697000002</v>
      </c>
      <c r="G331" s="987">
        <f>+F331/$F$332</f>
        <v>1.889079727376311E-2</v>
      </c>
      <c r="H331" s="1071">
        <v>1000</v>
      </c>
      <c r="I331" s="1071">
        <v>1000</v>
      </c>
      <c r="J331" s="1070">
        <v>1000</v>
      </c>
      <c r="K331" s="1051">
        <v>1000</v>
      </c>
      <c r="L331" s="1070">
        <v>1000</v>
      </c>
      <c r="M331" s="1068">
        <v>1000</v>
      </c>
      <c r="N331" s="1068">
        <v>1000</v>
      </c>
      <c r="O331" s="1068">
        <v>1000</v>
      </c>
      <c r="P331" s="1068">
        <v>1000</v>
      </c>
      <c r="Q331" s="1068">
        <v>1000</v>
      </c>
      <c r="R331" s="1068">
        <v>1000</v>
      </c>
      <c r="S331" s="1068">
        <v>1000</v>
      </c>
      <c r="T331" s="1068">
        <v>1000</v>
      </c>
      <c r="U331" s="705">
        <v>1000</v>
      </c>
      <c r="V331" s="705">
        <v>1000</v>
      </c>
      <c r="W331" s="705">
        <v>1000</v>
      </c>
      <c r="X331" s="705">
        <v>1000</v>
      </c>
      <c r="Y331" s="705">
        <v>1000</v>
      </c>
      <c r="Z331" s="705">
        <v>1000</v>
      </c>
      <c r="AA331" s="705">
        <v>1000</v>
      </c>
      <c r="AB331" s="705">
        <v>1000</v>
      </c>
      <c r="AC331" s="1069">
        <v>1000</v>
      </c>
      <c r="AD331" s="1069">
        <v>1000</v>
      </c>
      <c r="AE331" s="1069">
        <v>1000</v>
      </c>
      <c r="AF331" s="1069">
        <v>1000</v>
      </c>
      <c r="AG331" s="1068"/>
      <c r="AH331" s="1068">
        <f t="shared" si="21"/>
        <v>0</v>
      </c>
      <c r="AI331" s="1067"/>
    </row>
    <row r="332" spans="1:35">
      <c r="F332" s="1057">
        <f>+F5+F77+F88+F145+F180+F220+F238+F262+F270+F296+F300+F309</f>
        <v>4952068.0541591998</v>
      </c>
      <c r="G332" s="1055">
        <f>+G5+G77+G88+G145+G180+G220+G238+G262+G270+G296+G300+G309</f>
        <v>1</v>
      </c>
    </row>
    <row r="334" spans="1:35" hidden="1">
      <c r="E334" s="924" t="s">
        <v>515</v>
      </c>
      <c r="F334" s="1065">
        <f>+'[12]7'!$P$373</f>
        <v>3444792.2266719993</v>
      </c>
    </row>
    <row r="335" spans="1:35" hidden="1">
      <c r="E335" s="924" t="s">
        <v>2064</v>
      </c>
      <c r="F335" s="1066">
        <f>+'[12]7'!$P$394</f>
        <v>146096.19829200002</v>
      </c>
    </row>
    <row r="336" spans="1:35" hidden="1">
      <c r="E336" s="924" t="s">
        <v>2063</v>
      </c>
      <c r="F336" s="1065">
        <f>+F5+F77</f>
        <v>1663106.9956312</v>
      </c>
    </row>
    <row r="337" spans="1:32" hidden="1">
      <c r="E337" s="924" t="s">
        <v>1025</v>
      </c>
      <c r="F337" s="1065">
        <f>+F334-F335+F336</f>
        <v>4961803.0240111994</v>
      </c>
    </row>
    <row r="338" spans="1:32" hidden="1">
      <c r="E338" s="924" t="s">
        <v>2062</v>
      </c>
      <c r="F338" s="1064">
        <f>+F332-F337</f>
        <v>-9734.9698519995436</v>
      </c>
    </row>
    <row r="339" spans="1:32" hidden="1"/>
    <row r="340" spans="1:32" hidden="1"/>
    <row r="341" spans="1:32" hidden="1"/>
    <row r="342" spans="1:32">
      <c r="A342" s="985" t="s">
        <v>1726</v>
      </c>
      <c r="I342" s="924">
        <v>109.8</v>
      </c>
    </row>
    <row r="343" spans="1:32" ht="16.5" thickBot="1">
      <c r="A343" s="973"/>
      <c r="B343" s="973"/>
      <c r="C343" s="973"/>
      <c r="D343" s="973"/>
      <c r="E343" s="982" t="s">
        <v>2061</v>
      </c>
      <c r="F343" s="973"/>
      <c r="G343" s="1062"/>
      <c r="H343" s="973"/>
      <c r="I343" s="973">
        <f t="shared" ref="I343:T343" si="23">+I346/H346*100</f>
        <v>104.51732532283317</v>
      </c>
      <c r="J343" s="973">
        <f t="shared" si="23"/>
        <v>99.819648029444025</v>
      </c>
      <c r="K343" s="973">
        <f t="shared" si="23"/>
        <v>98.353775154707975</v>
      </c>
      <c r="L343" s="973">
        <f t="shared" si="23"/>
        <v>101.89517596294866</v>
      </c>
      <c r="M343" s="973">
        <f t="shared" si="23"/>
        <v>99.91457199139883</v>
      </c>
      <c r="N343" s="973">
        <f t="shared" si="23"/>
        <v>99.680609721500346</v>
      </c>
      <c r="O343" s="973">
        <f t="shared" si="23"/>
        <v>100.72379083122082</v>
      </c>
      <c r="P343" s="973">
        <f t="shared" si="23"/>
        <v>98.219222680992104</v>
      </c>
      <c r="Q343" s="973">
        <f t="shared" si="23"/>
        <v>102.23194411677596</v>
      </c>
      <c r="R343" s="973">
        <f t="shared" si="23"/>
        <v>101.28148589533896</v>
      </c>
      <c r="S343" s="973">
        <f t="shared" si="23"/>
        <v>101.8204599118411</v>
      </c>
      <c r="T343" s="973">
        <f t="shared" si="23"/>
        <v>101.6795468736595</v>
      </c>
      <c r="U343" s="973">
        <f>+I343*J343*K343*L343*M343*N343*O343*P343*Q343*R343*S343*T343/1E+22</f>
        <v>110.43389581203704</v>
      </c>
      <c r="V343" s="973"/>
      <c r="W343" s="973"/>
    </row>
    <row r="344" spans="1:32">
      <c r="A344" s="1963"/>
      <c r="B344" s="1963"/>
      <c r="C344" s="1963"/>
      <c r="D344" s="1963"/>
      <c r="E344" s="1625"/>
      <c r="F344" s="758"/>
      <c r="G344" s="933"/>
      <c r="H344" s="1063">
        <v>2010</v>
      </c>
      <c r="I344" s="1063">
        <v>2011</v>
      </c>
      <c r="J344" s="1063">
        <v>2011</v>
      </c>
      <c r="K344" s="1063">
        <v>2011</v>
      </c>
      <c r="L344" s="1063">
        <v>2011</v>
      </c>
      <c r="M344" s="1063">
        <v>2011</v>
      </c>
      <c r="N344" s="1063">
        <v>2011</v>
      </c>
      <c r="O344" s="1063">
        <v>2011</v>
      </c>
      <c r="P344" s="1063">
        <v>2011</v>
      </c>
      <c r="Q344" s="1063">
        <v>2011</v>
      </c>
      <c r="R344" s="1063">
        <v>2011</v>
      </c>
      <c r="S344" s="1063">
        <v>2011</v>
      </c>
      <c r="T344" s="1063">
        <v>2011</v>
      </c>
      <c r="U344" s="1063">
        <v>2012</v>
      </c>
      <c r="V344" s="1063">
        <v>2012</v>
      </c>
      <c r="W344" s="1063">
        <v>2012</v>
      </c>
      <c r="X344" s="1063">
        <v>2012</v>
      </c>
      <c r="Y344" s="1063">
        <v>2012</v>
      </c>
      <c r="Z344" s="1063">
        <v>2012</v>
      </c>
      <c r="AA344" s="1063">
        <v>2012</v>
      </c>
      <c r="AB344" s="1063">
        <v>2012</v>
      </c>
      <c r="AC344" s="1063">
        <v>2012</v>
      </c>
      <c r="AD344" s="1063">
        <v>2012</v>
      </c>
      <c r="AE344" s="1063">
        <v>2012</v>
      </c>
      <c r="AF344" s="1063">
        <v>2012</v>
      </c>
    </row>
    <row r="345" spans="1:32" ht="15" thickBot="1">
      <c r="A345" s="1964"/>
      <c r="B345" s="1964"/>
      <c r="C345" s="1964"/>
      <c r="D345" s="1964"/>
      <c r="E345" s="1962"/>
      <c r="F345" s="973"/>
      <c r="G345" s="1062"/>
      <c r="H345" s="1061" t="s">
        <v>2049</v>
      </c>
      <c r="I345" s="1061" t="s">
        <v>2060</v>
      </c>
      <c r="J345" s="1061" t="s">
        <v>2059</v>
      </c>
      <c r="K345" s="1061" t="s">
        <v>2058</v>
      </c>
      <c r="L345" s="1061" t="s">
        <v>2057</v>
      </c>
      <c r="M345" s="1061" t="s">
        <v>2056</v>
      </c>
      <c r="N345" s="1061" t="s">
        <v>2055</v>
      </c>
      <c r="O345" s="1061" t="s">
        <v>2054</v>
      </c>
      <c r="P345" s="1061" t="s">
        <v>2053</v>
      </c>
      <c r="Q345" s="1061" t="s">
        <v>2052</v>
      </c>
      <c r="R345" s="1061" t="s">
        <v>2051</v>
      </c>
      <c r="S345" s="1061" t="s">
        <v>2050</v>
      </c>
      <c r="T345" s="1061" t="s">
        <v>2049</v>
      </c>
      <c r="U345" s="1060" t="s">
        <v>2060</v>
      </c>
      <c r="V345" s="1060" t="s">
        <v>2059</v>
      </c>
      <c r="W345" s="1060" t="s">
        <v>2058</v>
      </c>
      <c r="X345" s="1060" t="s">
        <v>2057</v>
      </c>
      <c r="Y345" s="1060" t="s">
        <v>2056</v>
      </c>
      <c r="Z345" s="1060" t="s">
        <v>2055</v>
      </c>
      <c r="AA345" s="1060" t="s">
        <v>2054</v>
      </c>
      <c r="AB345" s="1060" t="s">
        <v>2053</v>
      </c>
      <c r="AC345" s="1060" t="s">
        <v>2052</v>
      </c>
      <c r="AD345" s="1060" t="s">
        <v>2051</v>
      </c>
      <c r="AE345" s="1060" t="s">
        <v>2050</v>
      </c>
      <c r="AF345" s="1060" t="s">
        <v>2049</v>
      </c>
    </row>
    <row r="346" spans="1:32">
      <c r="A346" s="1059"/>
      <c r="B346" s="999"/>
      <c r="C346" s="999"/>
      <c r="D346" s="999"/>
      <c r="E346" s="1058" t="s">
        <v>2048</v>
      </c>
      <c r="F346" s="1057">
        <f>+F347+F419+F430+F487+F522+F562+F580+F604+F612+F638+F642+F651</f>
        <v>4952068.0541591998</v>
      </c>
      <c r="G346" s="1055">
        <v>1</v>
      </c>
      <c r="H346" s="1054">
        <f t="shared" ref="H346:AF346" si="24">+(H347*$G$347+$G$419*H419+$G$430*H430+$G$487*H487+$G$522*H522+$G$562*H562+$G$580*H580+$G$604*H604+$G$612*H612+$G$638*H638+$G$642*H642+$G$651*H651)/$G$346</f>
        <v>100</v>
      </c>
      <c r="I346" s="1054">
        <f t="shared" si="24"/>
        <v>104.51732532283317</v>
      </c>
      <c r="J346" s="1054">
        <f t="shared" si="24"/>
        <v>104.32882626704105</v>
      </c>
      <c r="K346" s="1054">
        <f t="shared" si="24"/>
        <v>102.61133920823147</v>
      </c>
      <c r="L346" s="1054">
        <f t="shared" si="24"/>
        <v>104.5560046441656</v>
      </c>
      <c r="M346" s="1054">
        <f t="shared" si="24"/>
        <v>104.46668453152513</v>
      </c>
      <c r="N346" s="1054">
        <f t="shared" si="24"/>
        <v>104.13302809686054</v>
      </c>
      <c r="O346" s="1054">
        <f t="shared" si="24"/>
        <v>104.88673340649824</v>
      </c>
      <c r="P346" s="1054">
        <f t="shared" si="24"/>
        <v>103.01893424734703</v>
      </c>
      <c r="Q346" s="1054">
        <f t="shared" si="24"/>
        <v>105.31825928944599</v>
      </c>
      <c r="R346" s="1054">
        <f t="shared" si="24"/>
        <v>106.66789792745675</v>
      </c>
      <c r="S346" s="1054">
        <f t="shared" si="24"/>
        <v>108.60974424802967</v>
      </c>
      <c r="T346" s="1054">
        <f t="shared" si="24"/>
        <v>110.43389581203704</v>
      </c>
      <c r="U346" s="1054">
        <f t="shared" si="24"/>
        <v>113.93785371272499</v>
      </c>
      <c r="V346" s="1054">
        <f t="shared" si="24"/>
        <v>117.64267496890392</v>
      </c>
      <c r="W346" s="1054">
        <f t="shared" si="24"/>
        <v>121.96763133887279</v>
      </c>
      <c r="X346" s="1054">
        <f t="shared" si="24"/>
        <v>123.47399697184052</v>
      </c>
      <c r="Y346" s="1054">
        <f t="shared" si="24"/>
        <v>124.08878688727287</v>
      </c>
      <c r="Z346" s="1054">
        <f t="shared" si="24"/>
        <v>124.62725596994014</v>
      </c>
      <c r="AA346" s="1054">
        <f t="shared" si="24"/>
        <v>124.90156055513278</v>
      </c>
      <c r="AB346" s="1054">
        <f t="shared" si="24"/>
        <v>122.53538116836992</v>
      </c>
      <c r="AC346" s="1054">
        <f t="shared" si="24"/>
        <v>122.69514140192194</v>
      </c>
      <c r="AD346" s="1054">
        <f t="shared" si="24"/>
        <v>123.45861069808231</v>
      </c>
      <c r="AE346" s="1054">
        <f t="shared" si="24"/>
        <v>126.6706465973289</v>
      </c>
      <c r="AF346" s="1054">
        <f t="shared" si="24"/>
        <v>128.82858148807804</v>
      </c>
    </row>
    <row r="347" spans="1:32" outlineLevel="1">
      <c r="A347" s="1959" t="s">
        <v>2047</v>
      </c>
      <c r="B347" s="1959"/>
      <c r="C347" s="1959"/>
      <c r="D347" s="1959"/>
      <c r="E347" s="1959"/>
      <c r="F347" s="1056">
        <f>+F348+F411</f>
        <v>1537306.5062812001</v>
      </c>
      <c r="G347" s="1055">
        <v>0.31043727377494928</v>
      </c>
      <c r="H347" s="1054">
        <f t="shared" ref="H347:AF347" si="25">+(H348*$G$348+$G$411*H411)/$G$347</f>
        <v>100.00000000000003</v>
      </c>
      <c r="I347" s="1054">
        <f t="shared" si="25"/>
        <v>113.69943964971942</v>
      </c>
      <c r="J347" s="1054">
        <f t="shared" si="25"/>
        <v>113.81297138093211</v>
      </c>
      <c r="K347" s="1054">
        <f t="shared" si="25"/>
        <v>108.26727217563877</v>
      </c>
      <c r="L347" s="1054">
        <f t="shared" si="25"/>
        <v>113.80796053516862</v>
      </c>
      <c r="M347" s="1054">
        <f t="shared" si="25"/>
        <v>112.66822718314117</v>
      </c>
      <c r="N347" s="1054">
        <f t="shared" si="25"/>
        <v>109.6724204905973</v>
      </c>
      <c r="O347" s="1054">
        <f t="shared" si="25"/>
        <v>111.24198286588337</v>
      </c>
      <c r="P347" s="1054">
        <f t="shared" si="25"/>
        <v>104.64606443711789</v>
      </c>
      <c r="Q347" s="1054">
        <f t="shared" si="25"/>
        <v>110.30083978116141</v>
      </c>
      <c r="R347" s="1054">
        <f t="shared" si="25"/>
        <v>111.85149776324226</v>
      </c>
      <c r="S347" s="1054">
        <f t="shared" si="25"/>
        <v>114.43109583298322</v>
      </c>
      <c r="T347" s="1054">
        <f t="shared" si="25"/>
        <v>119.21381575032611</v>
      </c>
      <c r="U347" s="1054">
        <f t="shared" si="25"/>
        <v>126.21449392772669</v>
      </c>
      <c r="V347" s="1054">
        <f t="shared" si="25"/>
        <v>133.93763300490454</v>
      </c>
      <c r="W347" s="1054">
        <f t="shared" si="25"/>
        <v>145.64128438011232</v>
      </c>
      <c r="X347" s="1054">
        <f t="shared" si="25"/>
        <v>145.42887724630947</v>
      </c>
      <c r="Y347" s="1054">
        <f t="shared" si="25"/>
        <v>146.5248775732193</v>
      </c>
      <c r="Z347" s="1054">
        <f t="shared" si="25"/>
        <v>147.75808033329858</v>
      </c>
      <c r="AA347" s="1054">
        <f t="shared" si="25"/>
        <v>148.38050854323612</v>
      </c>
      <c r="AB347" s="1054">
        <f t="shared" si="25"/>
        <v>139.30663986286848</v>
      </c>
      <c r="AC347" s="1054">
        <f t="shared" si="25"/>
        <v>133.52324272387804</v>
      </c>
      <c r="AD347" s="1054">
        <f t="shared" si="25"/>
        <v>131.66362524530859</v>
      </c>
      <c r="AE347" s="1054">
        <f t="shared" si="25"/>
        <v>137.47572268920328</v>
      </c>
      <c r="AF347" s="1054">
        <f t="shared" si="25"/>
        <v>141.83508120886438</v>
      </c>
    </row>
    <row r="348" spans="1:32" outlineLevel="2">
      <c r="A348" s="999"/>
      <c r="B348" s="1053" t="s">
        <v>2046</v>
      </c>
      <c r="C348" s="1053"/>
      <c r="D348" s="1053"/>
      <c r="E348" s="999"/>
      <c r="F348" s="1020">
        <f>+F349+F360+F370+F377+F382+F387+F397+F404</f>
        <v>1487876.2978232</v>
      </c>
      <c r="G348" s="1019">
        <v>0.30045554333073943</v>
      </c>
      <c r="H348" s="1018">
        <f t="shared" ref="H348:AF348" si="26">+($G$349*H349+$G$360*H360+$G$370*H370+$G$377*H377+$G$382*H382+$G$387*H387+$G$397*H397+$G$404*H404)/$G$348</f>
        <v>100.00000000000001</v>
      </c>
      <c r="I348" s="1018">
        <f t="shared" si="26"/>
        <v>114.15456226887407</v>
      </c>
      <c r="J348" s="1018">
        <f t="shared" si="26"/>
        <v>114.13300818723913</v>
      </c>
      <c r="K348" s="1018">
        <f t="shared" si="26"/>
        <v>108.43629017548768</v>
      </c>
      <c r="L348" s="1018">
        <f t="shared" si="26"/>
        <v>114.16105121700934</v>
      </c>
      <c r="M348" s="1018">
        <f t="shared" si="26"/>
        <v>112.93898155951315</v>
      </c>
      <c r="N348" s="1018">
        <f t="shared" si="26"/>
        <v>109.83330696965268</v>
      </c>
      <c r="O348" s="1018">
        <f t="shared" si="26"/>
        <v>111.45501332727903</v>
      </c>
      <c r="P348" s="1018">
        <f t="shared" si="26"/>
        <v>104.75411886899229</v>
      </c>
      <c r="Q348" s="1018">
        <f t="shared" si="26"/>
        <v>110.59675709145398</v>
      </c>
      <c r="R348" s="1018">
        <f t="shared" si="26"/>
        <v>112.1989310143516</v>
      </c>
      <c r="S348" s="1018">
        <f t="shared" si="26"/>
        <v>114.86422846011709</v>
      </c>
      <c r="T348" s="1018">
        <f t="shared" si="26"/>
        <v>119.74890856719645</v>
      </c>
      <c r="U348" s="1018">
        <f t="shared" si="26"/>
        <v>126.81801608602373</v>
      </c>
      <c r="V348" s="1018">
        <f t="shared" si="26"/>
        <v>134.76801078057167</v>
      </c>
      <c r="W348" s="1018">
        <f t="shared" si="26"/>
        <v>146.68848977626735</v>
      </c>
      <c r="X348" s="1018">
        <f t="shared" si="26"/>
        <v>146.32745053245654</v>
      </c>
      <c r="Y348" s="1018">
        <f t="shared" si="26"/>
        <v>147.47811142215571</v>
      </c>
      <c r="Z348" s="1018">
        <f t="shared" si="26"/>
        <v>148.49323474263937</v>
      </c>
      <c r="AA348" s="1018">
        <f t="shared" si="26"/>
        <v>149.10265027192003</v>
      </c>
      <c r="AB348" s="1018">
        <f t="shared" si="26"/>
        <v>139.55745320814776</v>
      </c>
      <c r="AC348" s="1018">
        <f t="shared" si="26"/>
        <v>133.64930208532715</v>
      </c>
      <c r="AD348" s="1018">
        <f t="shared" si="26"/>
        <v>131.7279044172673</v>
      </c>
      <c r="AE348" s="1018">
        <f t="shared" si="26"/>
        <v>137.68325547727321</v>
      </c>
      <c r="AF348" s="1018">
        <f t="shared" si="26"/>
        <v>142.11927459824494</v>
      </c>
    </row>
    <row r="349" spans="1:32" outlineLevel="3">
      <c r="A349" s="999"/>
      <c r="B349" s="1041">
        <v>1</v>
      </c>
      <c r="C349" s="1960" t="s">
        <v>2045</v>
      </c>
      <c r="D349" s="1960"/>
      <c r="E349" s="1960"/>
      <c r="F349" s="998">
        <f>SUM(F350:F359)</f>
        <v>452388.83104600001</v>
      </c>
      <c r="G349" s="997">
        <v>9.1353516570928869E-2</v>
      </c>
      <c r="H349" s="996">
        <f>+SUMPRODUCT(H350:H359,$G$350:$G$359)/$G$349</f>
        <v>100.00000000000001</v>
      </c>
      <c r="I349" s="996">
        <f t="shared" ref="I349:AF349" si="27">+SUMPRODUCT(I350:I359,$G350:$G359)/$G349</f>
        <v>100.43032568821268</v>
      </c>
      <c r="J349" s="996">
        <f t="shared" si="27"/>
        <v>101.18187490673618</v>
      </c>
      <c r="K349" s="996">
        <f t="shared" si="27"/>
        <v>100.60364656188059</v>
      </c>
      <c r="L349" s="996">
        <f t="shared" si="27"/>
        <v>101.26022679596532</v>
      </c>
      <c r="M349" s="996">
        <f t="shared" si="27"/>
        <v>100.81374447084031</v>
      </c>
      <c r="N349" s="996">
        <f t="shared" si="27"/>
        <v>101.93589640546749</v>
      </c>
      <c r="O349" s="996">
        <f t="shared" si="27"/>
        <v>102.2454521763616</v>
      </c>
      <c r="P349" s="996">
        <f t="shared" si="27"/>
        <v>102.12916458377022</v>
      </c>
      <c r="Q349" s="996">
        <f t="shared" si="27"/>
        <v>104.4439827507493</v>
      </c>
      <c r="R349" s="996">
        <f t="shared" si="27"/>
        <v>104.52164067527991</v>
      </c>
      <c r="S349" s="996">
        <f t="shared" si="27"/>
        <v>105.17006844877393</v>
      </c>
      <c r="T349" s="996">
        <f t="shared" si="27"/>
        <v>105.48176100052842</v>
      </c>
      <c r="U349" s="996">
        <f t="shared" si="27"/>
        <v>107.99511887986321</v>
      </c>
      <c r="V349" s="996">
        <f t="shared" si="27"/>
        <v>107.99511887986321</v>
      </c>
      <c r="W349" s="996">
        <f t="shared" si="27"/>
        <v>107.57892812597647</v>
      </c>
      <c r="X349" s="996">
        <f t="shared" si="27"/>
        <v>106.8756067884943</v>
      </c>
      <c r="Y349" s="996">
        <f t="shared" si="27"/>
        <v>106.9950805185414</v>
      </c>
      <c r="Z349" s="996">
        <f t="shared" si="27"/>
        <v>103.51069758575063</v>
      </c>
      <c r="AA349" s="996">
        <f t="shared" si="27"/>
        <v>105.13319388057457</v>
      </c>
      <c r="AB349" s="996">
        <f t="shared" si="27"/>
        <v>103.63329398984803</v>
      </c>
      <c r="AC349" s="996">
        <f t="shared" si="27"/>
        <v>102.8520699181595</v>
      </c>
      <c r="AD349" s="996">
        <f t="shared" si="27"/>
        <v>102.8520699181595</v>
      </c>
      <c r="AE349" s="996">
        <f t="shared" si="27"/>
        <v>102.84642016411331</v>
      </c>
      <c r="AF349" s="996">
        <f t="shared" si="27"/>
        <v>104.67006350266719</v>
      </c>
    </row>
    <row r="350" spans="1:32" s="1010" customFormat="1" outlineLevel="4">
      <c r="A350" s="999"/>
      <c r="B350" s="999"/>
      <c r="C350" s="999"/>
      <c r="D350" s="1015">
        <v>1</v>
      </c>
      <c r="E350" s="1052" t="s">
        <v>2044</v>
      </c>
      <c r="F350" s="1046">
        <f>+'[10]7'!$P$9</f>
        <v>1387.1388300000001</v>
      </c>
      <c r="G350" s="987">
        <v>2.8011303859908667E-4</v>
      </c>
      <c r="H350" s="986">
        <f t="shared" ref="H350:H359" si="28">IF(H8=0,100,H8/H8*100)</f>
        <v>100</v>
      </c>
      <c r="I350" s="986">
        <f t="shared" ref="I350:AF350" si="29">IF(I8=0,100,I8/H8*H350)</f>
        <v>100</v>
      </c>
      <c r="J350" s="986">
        <f t="shared" si="29"/>
        <v>100</v>
      </c>
      <c r="K350" s="986">
        <f t="shared" si="29"/>
        <v>100</v>
      </c>
      <c r="L350" s="986">
        <f t="shared" si="29"/>
        <v>100</v>
      </c>
      <c r="M350" s="986">
        <f t="shared" si="29"/>
        <v>100</v>
      </c>
      <c r="N350" s="986">
        <f t="shared" si="29"/>
        <v>100</v>
      </c>
      <c r="O350" s="986">
        <f t="shared" si="29"/>
        <v>100</v>
      </c>
      <c r="P350" s="986">
        <f t="shared" si="29"/>
        <v>100</v>
      </c>
      <c r="Q350" s="986">
        <f t="shared" si="29"/>
        <v>100</v>
      </c>
      <c r="R350" s="986">
        <f t="shared" si="29"/>
        <v>100</v>
      </c>
      <c r="S350" s="986">
        <f t="shared" si="29"/>
        <v>100</v>
      </c>
      <c r="T350" s="986">
        <f t="shared" si="29"/>
        <v>100</v>
      </c>
      <c r="U350" s="986">
        <f t="shared" si="29"/>
        <v>100</v>
      </c>
      <c r="V350" s="986">
        <f t="shared" si="29"/>
        <v>100</v>
      </c>
      <c r="W350" s="986">
        <f t="shared" si="29"/>
        <v>91.666666666666657</v>
      </c>
      <c r="X350" s="986">
        <f t="shared" si="29"/>
        <v>83.333333333333329</v>
      </c>
      <c r="Y350" s="986">
        <f t="shared" si="29"/>
        <v>83.333333333333329</v>
      </c>
      <c r="Z350" s="986">
        <f t="shared" si="29"/>
        <v>79.166666666666657</v>
      </c>
      <c r="AA350" s="986">
        <f t="shared" si="29"/>
        <v>79.166666666666657</v>
      </c>
      <c r="AB350" s="986">
        <f t="shared" si="29"/>
        <v>79.166666666666657</v>
      </c>
      <c r="AC350" s="986">
        <f t="shared" si="29"/>
        <v>74.999999999999986</v>
      </c>
      <c r="AD350" s="986">
        <f t="shared" si="29"/>
        <v>74.999999999999986</v>
      </c>
      <c r="AE350" s="986">
        <f t="shared" si="29"/>
        <v>74.999999999999986</v>
      </c>
      <c r="AF350" s="986">
        <f t="shared" si="29"/>
        <v>76.388888888888857</v>
      </c>
    </row>
    <row r="351" spans="1:32" s="1010" customFormat="1" outlineLevel="4">
      <c r="A351" s="999"/>
      <c r="B351" s="999"/>
      <c r="C351" s="999"/>
      <c r="D351" s="1015">
        <f t="shared" ref="D351:D359" si="30">+D350+1</f>
        <v>2</v>
      </c>
      <c r="E351" s="1014" t="s">
        <v>2043</v>
      </c>
      <c r="F351" s="1046">
        <f>+'[10]7'!$P$10</f>
        <v>97932.222000000009</v>
      </c>
      <c r="G351" s="987">
        <v>1.9776025072544706E-2</v>
      </c>
      <c r="H351" s="986">
        <f t="shared" si="28"/>
        <v>100</v>
      </c>
      <c r="I351" s="986">
        <f t="shared" ref="I351:AF351" si="31">IF(I9=0,100,I9/H9*H351)</f>
        <v>100</v>
      </c>
      <c r="J351" s="986">
        <f t="shared" si="31"/>
        <v>100</v>
      </c>
      <c r="K351" s="986">
        <f t="shared" si="31"/>
        <v>100</v>
      </c>
      <c r="L351" s="986">
        <f t="shared" si="31"/>
        <v>100</v>
      </c>
      <c r="M351" s="986">
        <f t="shared" si="31"/>
        <v>100</v>
      </c>
      <c r="N351" s="986">
        <f t="shared" si="31"/>
        <v>106.25</v>
      </c>
      <c r="O351" s="986">
        <f t="shared" si="31"/>
        <v>106.25</v>
      </c>
      <c r="P351" s="986">
        <f t="shared" si="31"/>
        <v>106.25</v>
      </c>
      <c r="Q351" s="986">
        <f t="shared" si="31"/>
        <v>106.25</v>
      </c>
      <c r="R351" s="986">
        <f t="shared" si="31"/>
        <v>106.25</v>
      </c>
      <c r="S351" s="986">
        <f t="shared" si="31"/>
        <v>106.25</v>
      </c>
      <c r="T351" s="986">
        <f t="shared" si="31"/>
        <v>106.25</v>
      </c>
      <c r="U351" s="986">
        <f t="shared" si="31"/>
        <v>112.5</v>
      </c>
      <c r="V351" s="986">
        <f t="shared" si="31"/>
        <v>112.5</v>
      </c>
      <c r="W351" s="986">
        <f t="shared" si="31"/>
        <v>112.5</v>
      </c>
      <c r="X351" s="986">
        <f t="shared" si="31"/>
        <v>109.375</v>
      </c>
      <c r="Y351" s="986">
        <f t="shared" si="31"/>
        <v>109.375</v>
      </c>
      <c r="Z351" s="986">
        <f t="shared" si="31"/>
        <v>101.5625</v>
      </c>
      <c r="AA351" s="986">
        <f t="shared" si="31"/>
        <v>101.5625</v>
      </c>
      <c r="AB351" s="986">
        <f t="shared" si="31"/>
        <v>101.5625</v>
      </c>
      <c r="AC351" s="986">
        <f t="shared" si="31"/>
        <v>98.4375</v>
      </c>
      <c r="AD351" s="986">
        <f t="shared" si="31"/>
        <v>98.4375</v>
      </c>
      <c r="AE351" s="986">
        <f t="shared" si="31"/>
        <v>98.4375</v>
      </c>
      <c r="AF351" s="986">
        <f t="shared" si="31"/>
        <v>98.4375</v>
      </c>
    </row>
    <row r="352" spans="1:32" s="1010" customFormat="1" outlineLevel="4">
      <c r="A352" s="999"/>
      <c r="B352" s="999"/>
      <c r="C352" s="999"/>
      <c r="D352" s="1015">
        <f t="shared" si="30"/>
        <v>3</v>
      </c>
      <c r="E352" s="1014" t="s">
        <v>2042</v>
      </c>
      <c r="F352" s="1046">
        <f>+'[10]7'!$P$11+'[10]7'!$P$12</f>
        <v>10925.122958000002</v>
      </c>
      <c r="G352" s="987">
        <v>2.2061738325312562E-3</v>
      </c>
      <c r="H352" s="986">
        <f t="shared" si="28"/>
        <v>100</v>
      </c>
      <c r="I352" s="986">
        <f t="shared" ref="I352:AF352" si="32">IF(I10=0,100,I10/H10*H352)</f>
        <v>100</v>
      </c>
      <c r="J352" s="986">
        <f t="shared" si="32"/>
        <v>100</v>
      </c>
      <c r="K352" s="986">
        <f t="shared" si="32"/>
        <v>100</v>
      </c>
      <c r="L352" s="986">
        <f t="shared" si="32"/>
        <v>100</v>
      </c>
      <c r="M352" s="986">
        <f t="shared" si="32"/>
        <v>100</v>
      </c>
      <c r="N352" s="986">
        <f t="shared" si="32"/>
        <v>105</v>
      </c>
      <c r="O352" s="986">
        <f t="shared" si="32"/>
        <v>105</v>
      </c>
      <c r="P352" s="986">
        <f t="shared" si="32"/>
        <v>105</v>
      </c>
      <c r="Q352" s="986">
        <f t="shared" si="32"/>
        <v>105</v>
      </c>
      <c r="R352" s="986">
        <f t="shared" si="32"/>
        <v>105</v>
      </c>
      <c r="S352" s="986">
        <f t="shared" si="32"/>
        <v>105</v>
      </c>
      <c r="T352" s="986">
        <f t="shared" si="32"/>
        <v>105</v>
      </c>
      <c r="U352" s="986">
        <f t="shared" si="32"/>
        <v>108.33333333333334</v>
      </c>
      <c r="V352" s="986">
        <f t="shared" si="32"/>
        <v>108.33333333333334</v>
      </c>
      <c r="W352" s="986">
        <f t="shared" si="32"/>
        <v>108.33333333333334</v>
      </c>
      <c r="X352" s="986">
        <f t="shared" si="32"/>
        <v>103.33333333333334</v>
      </c>
      <c r="Y352" s="986">
        <f t="shared" si="32"/>
        <v>103.33333333333334</v>
      </c>
      <c r="Z352" s="986">
        <f t="shared" si="32"/>
        <v>96.666666666666671</v>
      </c>
      <c r="AA352" s="986">
        <f t="shared" si="32"/>
        <v>96.666666666666671</v>
      </c>
      <c r="AB352" s="986">
        <f t="shared" si="32"/>
        <v>96.666666666666671</v>
      </c>
      <c r="AC352" s="986">
        <f t="shared" si="32"/>
        <v>96.666666666666671</v>
      </c>
      <c r="AD352" s="986">
        <f t="shared" si="32"/>
        <v>96.666666666666671</v>
      </c>
      <c r="AE352" s="986">
        <f t="shared" si="32"/>
        <v>96.666666666666671</v>
      </c>
      <c r="AF352" s="986">
        <f t="shared" si="32"/>
        <v>96.666666666666671</v>
      </c>
    </row>
    <row r="353" spans="1:32" s="1010" customFormat="1" outlineLevel="4">
      <c r="A353" s="999"/>
      <c r="B353" s="999"/>
      <c r="C353" s="999"/>
      <c r="D353" s="1015">
        <f t="shared" si="30"/>
        <v>4</v>
      </c>
      <c r="E353" s="1014" t="s">
        <v>2041</v>
      </c>
      <c r="F353" s="1046">
        <f>+'[10]7'!$P$14+'[10]7'!$P$82</f>
        <v>20079.047870000002</v>
      </c>
      <c r="G353" s="987">
        <v>4.0546793077966244E-3</v>
      </c>
      <c r="H353" s="986">
        <f t="shared" si="28"/>
        <v>100</v>
      </c>
      <c r="I353" s="986">
        <f t="shared" ref="I353:AF353" si="33">IF(I11=0,100,I11/H11*H353)</f>
        <v>99.192462987886941</v>
      </c>
      <c r="J353" s="986">
        <f t="shared" si="33"/>
        <v>104.57604306864064</v>
      </c>
      <c r="K353" s="986">
        <f t="shared" si="33"/>
        <v>104.97981157469717</v>
      </c>
      <c r="L353" s="986">
        <f t="shared" si="33"/>
        <v>104.97981157469717</v>
      </c>
      <c r="M353" s="986">
        <f t="shared" si="33"/>
        <v>104.97981157469717</v>
      </c>
      <c r="N353" s="986">
        <f t="shared" si="33"/>
        <v>104.97981157469717</v>
      </c>
      <c r="O353" s="986">
        <f t="shared" si="33"/>
        <v>104.97981157469717</v>
      </c>
      <c r="P353" s="986">
        <f t="shared" si="33"/>
        <v>104.97981157469717</v>
      </c>
      <c r="Q353" s="986">
        <f t="shared" si="33"/>
        <v>104.97981157469717</v>
      </c>
      <c r="R353" s="986">
        <f t="shared" si="33"/>
        <v>106.72947510094211</v>
      </c>
      <c r="S353" s="986">
        <f t="shared" si="33"/>
        <v>106.72947510094211</v>
      </c>
      <c r="T353" s="986">
        <f t="shared" si="33"/>
        <v>112.11305518169583</v>
      </c>
      <c r="U353" s="986">
        <f t="shared" si="33"/>
        <v>114.40107671601615</v>
      </c>
      <c r="V353" s="986">
        <f t="shared" si="33"/>
        <v>114.40107671601615</v>
      </c>
      <c r="W353" s="986">
        <f t="shared" si="33"/>
        <v>107.67160161507402</v>
      </c>
      <c r="X353" s="986">
        <f t="shared" si="33"/>
        <v>110.36339165545087</v>
      </c>
      <c r="Y353" s="986">
        <f t="shared" si="33"/>
        <v>113.05518169582773</v>
      </c>
      <c r="Z353" s="986">
        <f t="shared" si="33"/>
        <v>110.36339165545087</v>
      </c>
      <c r="AA353" s="986">
        <f t="shared" si="33"/>
        <v>114.40107671601615</v>
      </c>
      <c r="AB353" s="986">
        <f t="shared" si="33"/>
        <v>114.40107671601615</v>
      </c>
      <c r="AC353" s="986">
        <f t="shared" si="33"/>
        <v>114.40107671601615</v>
      </c>
      <c r="AD353" s="986">
        <f t="shared" si="33"/>
        <v>114.40107671601615</v>
      </c>
      <c r="AE353" s="986">
        <f t="shared" si="33"/>
        <v>114.40107671601615</v>
      </c>
      <c r="AF353" s="986">
        <f t="shared" si="33"/>
        <v>113.95244504262</v>
      </c>
    </row>
    <row r="354" spans="1:32" s="1010" customFormat="1" outlineLevel="4">
      <c r="A354" s="999"/>
      <c r="B354" s="999"/>
      <c r="C354" s="999"/>
      <c r="D354" s="1015">
        <f t="shared" si="30"/>
        <v>5</v>
      </c>
      <c r="E354" s="1014" t="s">
        <v>2040</v>
      </c>
      <c r="F354" s="1046">
        <f>+'[10]7'!$P$13+'[10]7'!$P$21</f>
        <v>6348.0235300000004</v>
      </c>
      <c r="G354" s="987">
        <v>1.2818934353433105E-3</v>
      </c>
      <c r="H354" s="986">
        <f t="shared" si="28"/>
        <v>100</v>
      </c>
      <c r="I354" s="986">
        <f t="shared" ref="I354:AF354" si="34">IF(I12=0,100,I12/H12*H354)</f>
        <v>103.14547837483616</v>
      </c>
      <c r="J354" s="986">
        <f t="shared" si="34"/>
        <v>102.2280471821756</v>
      </c>
      <c r="K354" s="986">
        <f t="shared" si="34"/>
        <v>102.2280471821756</v>
      </c>
      <c r="L354" s="986">
        <f t="shared" si="34"/>
        <v>102.2280471821756</v>
      </c>
      <c r="M354" s="986">
        <f t="shared" si="34"/>
        <v>102.2280471821756</v>
      </c>
      <c r="N354" s="986">
        <f t="shared" si="34"/>
        <v>102.2280471821756</v>
      </c>
      <c r="O354" s="986">
        <f t="shared" si="34"/>
        <v>102.2280471821756</v>
      </c>
      <c r="P354" s="986">
        <f t="shared" si="34"/>
        <v>102.2280471821756</v>
      </c>
      <c r="Q354" s="986">
        <f t="shared" si="34"/>
        <v>103.93184796854518</v>
      </c>
      <c r="R354" s="986">
        <f t="shared" si="34"/>
        <v>103.93184796854518</v>
      </c>
      <c r="S354" s="986">
        <f t="shared" si="34"/>
        <v>103.93184796854518</v>
      </c>
      <c r="T354" s="986">
        <f t="shared" si="34"/>
        <v>107.07732634338136</v>
      </c>
      <c r="U354" s="986">
        <f t="shared" si="34"/>
        <v>111.4023591087811</v>
      </c>
      <c r="V354" s="986">
        <f t="shared" si="34"/>
        <v>111.4023591087811</v>
      </c>
      <c r="W354" s="986">
        <f t="shared" si="34"/>
        <v>104.84927916120574</v>
      </c>
      <c r="X354" s="986">
        <f t="shared" si="34"/>
        <v>104.84927916120574</v>
      </c>
      <c r="Y354" s="986">
        <f t="shared" si="34"/>
        <v>104.84927916120574</v>
      </c>
      <c r="Z354" s="986">
        <f t="shared" si="34"/>
        <v>104.84927916120574</v>
      </c>
      <c r="AA354" s="986">
        <f t="shared" si="34"/>
        <v>104.84927916120574</v>
      </c>
      <c r="AB354" s="986">
        <f t="shared" si="34"/>
        <v>104.84927916120574</v>
      </c>
      <c r="AC354" s="986">
        <f t="shared" si="34"/>
        <v>98.296199213630388</v>
      </c>
      <c r="AD354" s="986">
        <f t="shared" si="34"/>
        <v>98.296199213630388</v>
      </c>
      <c r="AE354" s="986">
        <f t="shared" si="34"/>
        <v>96.548711227610298</v>
      </c>
      <c r="AF354" s="986">
        <f t="shared" si="34"/>
        <v>98.296199213630402</v>
      </c>
    </row>
    <row r="355" spans="1:32" s="1010" customFormat="1" outlineLevel="4">
      <c r="A355" s="999"/>
      <c r="B355" s="999"/>
      <c r="C355" s="999"/>
      <c r="D355" s="1015">
        <f t="shared" si="30"/>
        <v>6</v>
      </c>
      <c r="E355" s="1014" t="s">
        <v>2039</v>
      </c>
      <c r="F355" s="1046">
        <f>+'[10]7'!$P$7</f>
        <v>118604.13500000001</v>
      </c>
      <c r="G355" s="987">
        <v>2.3950425095710347E-2</v>
      </c>
      <c r="H355" s="986">
        <f t="shared" si="28"/>
        <v>100</v>
      </c>
      <c r="I355" s="986">
        <f t="shared" ref="I355:AF355" si="35">IF(I13=0,100,I13/H13*H355)</f>
        <v>100</v>
      </c>
      <c r="J355" s="986">
        <f t="shared" si="35"/>
        <v>108.51788756388416</v>
      </c>
      <c r="K355" s="986">
        <f t="shared" si="35"/>
        <v>105.1107325383305</v>
      </c>
      <c r="L355" s="986">
        <f t="shared" si="35"/>
        <v>105.1107325383305</v>
      </c>
      <c r="M355" s="986">
        <f t="shared" si="35"/>
        <v>105.1107325383305</v>
      </c>
      <c r="N355" s="986">
        <f t="shared" si="35"/>
        <v>105.1107325383305</v>
      </c>
      <c r="O355" s="986">
        <f t="shared" si="35"/>
        <v>105.1107325383305</v>
      </c>
      <c r="P355" s="986">
        <f t="shared" si="35"/>
        <v>105.1107325383305</v>
      </c>
      <c r="Q355" s="986">
        <f t="shared" si="35"/>
        <v>105.1107325383305</v>
      </c>
      <c r="R355" s="986">
        <f t="shared" si="35"/>
        <v>105.1107325383305</v>
      </c>
      <c r="S355" s="986">
        <f t="shared" si="35"/>
        <v>105.1107325383305</v>
      </c>
      <c r="T355" s="986">
        <f t="shared" si="35"/>
        <v>102.21465076660988</v>
      </c>
      <c r="U355" s="986">
        <f t="shared" si="35"/>
        <v>102.21465076660988</v>
      </c>
      <c r="V355" s="986">
        <f t="shared" si="35"/>
        <v>102.21465076660988</v>
      </c>
      <c r="W355" s="986">
        <f t="shared" si="35"/>
        <v>102.21465076660988</v>
      </c>
      <c r="X355" s="986">
        <f t="shared" si="35"/>
        <v>102.21465076660988</v>
      </c>
      <c r="Y355" s="986">
        <f t="shared" si="35"/>
        <v>102.21465076660988</v>
      </c>
      <c r="Z355" s="986">
        <f t="shared" si="35"/>
        <v>102.21465076660988</v>
      </c>
      <c r="AA355" s="986">
        <f t="shared" si="35"/>
        <v>102.21465076660988</v>
      </c>
      <c r="AB355" s="986">
        <f t="shared" si="35"/>
        <v>102.21465076660988</v>
      </c>
      <c r="AC355" s="986">
        <f t="shared" si="35"/>
        <v>102.21465076660988</v>
      </c>
      <c r="AD355" s="986">
        <f t="shared" si="35"/>
        <v>102.21465076660988</v>
      </c>
      <c r="AE355" s="986">
        <f t="shared" si="35"/>
        <v>102.21465076660988</v>
      </c>
      <c r="AF355" s="986">
        <f t="shared" si="35"/>
        <v>102.21465076660988</v>
      </c>
    </row>
    <row r="356" spans="1:32" s="1010" customFormat="1" outlineLevel="4">
      <c r="A356" s="999"/>
      <c r="B356" s="999"/>
      <c r="C356" s="999"/>
      <c r="D356" s="1015">
        <f t="shared" si="30"/>
        <v>7</v>
      </c>
      <c r="E356" s="1014" t="s">
        <v>2038</v>
      </c>
      <c r="F356" s="1046">
        <f>+'[10]7'!$P$15+'[10]7'!$P$17+'[10]7'!$P$20</f>
        <v>81116.076399999991</v>
      </c>
      <c r="G356" s="987">
        <v>1.6380242660815472E-2</v>
      </c>
      <c r="H356" s="986">
        <f t="shared" si="28"/>
        <v>100</v>
      </c>
      <c r="I356" s="986">
        <f t="shared" ref="I356:AF356" si="36">IF(I14=0,100,I14/H14*H356)</f>
        <v>102.24948875255623</v>
      </c>
      <c r="J356" s="986">
        <f t="shared" si="36"/>
        <v>101.09066121336059</v>
      </c>
      <c r="K356" s="986">
        <f t="shared" si="36"/>
        <v>104.29447852760735</v>
      </c>
      <c r="L356" s="986">
        <f t="shared" si="36"/>
        <v>109.06612133605998</v>
      </c>
      <c r="M356" s="986">
        <f t="shared" si="36"/>
        <v>109.06612133605998</v>
      </c>
      <c r="N356" s="986">
        <f t="shared" si="36"/>
        <v>109.06612133605998</v>
      </c>
      <c r="O356" s="986">
        <f t="shared" si="36"/>
        <v>109.06612133605998</v>
      </c>
      <c r="P356" s="986">
        <f t="shared" si="36"/>
        <v>109.06612133605998</v>
      </c>
      <c r="Q356" s="986">
        <f t="shared" si="36"/>
        <v>109.06612133605998</v>
      </c>
      <c r="R356" s="986">
        <f t="shared" si="36"/>
        <v>109.06612133605998</v>
      </c>
      <c r="S356" s="986">
        <f t="shared" si="36"/>
        <v>112.47443762781185</v>
      </c>
      <c r="T356" s="986">
        <f t="shared" si="36"/>
        <v>112.47443762781185</v>
      </c>
      <c r="U356" s="986">
        <f t="shared" si="36"/>
        <v>115.88275391956373</v>
      </c>
      <c r="V356" s="986">
        <f t="shared" si="36"/>
        <v>115.88275391956373</v>
      </c>
      <c r="W356" s="986">
        <f t="shared" si="36"/>
        <v>115.88275391956373</v>
      </c>
      <c r="X356" s="986">
        <f t="shared" si="36"/>
        <v>115.88275391956373</v>
      </c>
      <c r="Y356" s="986">
        <f t="shared" si="36"/>
        <v>115.88275391956373</v>
      </c>
      <c r="Z356" s="986">
        <f t="shared" si="36"/>
        <v>115.88275391956373</v>
      </c>
      <c r="AA356" s="986">
        <f t="shared" si="36"/>
        <v>115.88275391956373</v>
      </c>
      <c r="AB356" s="986">
        <f t="shared" si="36"/>
        <v>115.88275391956373</v>
      </c>
      <c r="AC356" s="986">
        <f t="shared" si="36"/>
        <v>115.88275391956373</v>
      </c>
      <c r="AD356" s="986">
        <f t="shared" si="36"/>
        <v>115.88275391956373</v>
      </c>
      <c r="AE356" s="986">
        <f t="shared" si="36"/>
        <v>115.88275391956373</v>
      </c>
      <c r="AF356" s="986">
        <f t="shared" si="36"/>
        <v>120.42717564189957</v>
      </c>
    </row>
    <row r="357" spans="1:32" s="1010" customFormat="1" outlineLevel="4">
      <c r="A357" s="999"/>
      <c r="B357" s="999"/>
      <c r="C357" s="999"/>
      <c r="D357" s="1015">
        <f t="shared" si="30"/>
        <v>8</v>
      </c>
      <c r="E357" s="1014" t="s">
        <v>2037</v>
      </c>
      <c r="F357" s="1046">
        <f>+'[10]7'!$P$16</f>
        <v>7879.3350300000002</v>
      </c>
      <c r="G357" s="987">
        <v>1.591120102516001E-3</v>
      </c>
      <c r="H357" s="986">
        <f t="shared" si="28"/>
        <v>100</v>
      </c>
      <c r="I357" s="986">
        <f t="shared" ref="I357:AF357" si="37">IF(I15=0,100,I15/H15*H357)</f>
        <v>100</v>
      </c>
      <c r="J357" s="986">
        <f t="shared" si="37"/>
        <v>100</v>
      </c>
      <c r="K357" s="986">
        <f t="shared" si="37"/>
        <v>100</v>
      </c>
      <c r="L357" s="986">
        <f t="shared" si="37"/>
        <v>102.14132762312633</v>
      </c>
      <c r="M357" s="986">
        <f t="shared" si="37"/>
        <v>104.92505353319056</v>
      </c>
      <c r="N357" s="986">
        <f t="shared" si="37"/>
        <v>139.18629550321197</v>
      </c>
      <c r="O357" s="986">
        <f t="shared" si="37"/>
        <v>156.95931477516058</v>
      </c>
      <c r="P357" s="986">
        <f t="shared" si="37"/>
        <v>153.53319057815844</v>
      </c>
      <c r="Q357" s="986">
        <f t="shared" si="37"/>
        <v>154.81798715203422</v>
      </c>
      <c r="R357" s="986">
        <f t="shared" si="37"/>
        <v>154.81798715203422</v>
      </c>
      <c r="S357" s="986">
        <f t="shared" si="37"/>
        <v>156.95931477516055</v>
      </c>
      <c r="T357" s="986">
        <f t="shared" si="37"/>
        <v>156.95931477516055</v>
      </c>
      <c r="U357" s="986">
        <f t="shared" si="37"/>
        <v>171.30620985010702</v>
      </c>
      <c r="V357" s="986">
        <f t="shared" si="37"/>
        <v>171.30620985010702</v>
      </c>
      <c r="W357" s="986">
        <f t="shared" si="37"/>
        <v>171.30620985010702</v>
      </c>
      <c r="X357" s="986">
        <f t="shared" si="37"/>
        <v>171.30620985010702</v>
      </c>
      <c r="Y357" s="986">
        <f t="shared" si="37"/>
        <v>171.30620985010702</v>
      </c>
      <c r="Z357" s="986">
        <f t="shared" si="37"/>
        <v>171.30620985010702</v>
      </c>
      <c r="AA357" s="986">
        <f t="shared" si="37"/>
        <v>171.30620985010702</v>
      </c>
      <c r="AB357" s="986">
        <f t="shared" si="37"/>
        <v>171.30620985010702</v>
      </c>
      <c r="AC357" s="986">
        <f t="shared" si="37"/>
        <v>171.30620985010702</v>
      </c>
      <c r="AD357" s="986">
        <f t="shared" si="37"/>
        <v>171.30620985010702</v>
      </c>
      <c r="AE357" s="986">
        <f t="shared" si="37"/>
        <v>171.30620985010702</v>
      </c>
      <c r="AF357" s="986">
        <f t="shared" si="37"/>
        <v>171.30620985010702</v>
      </c>
    </row>
    <row r="358" spans="1:32" s="1010" customFormat="1" outlineLevel="4">
      <c r="A358" s="999"/>
      <c r="B358" s="999"/>
      <c r="C358" s="999"/>
      <c r="D358" s="1015">
        <f t="shared" si="30"/>
        <v>9</v>
      </c>
      <c r="E358" s="1014" t="s">
        <v>2036</v>
      </c>
      <c r="F358" s="1046">
        <f>+'[10]7'!$P$8</f>
        <v>104019.86899999999</v>
      </c>
      <c r="G358" s="987">
        <v>2.1005339155756267E-2</v>
      </c>
      <c r="H358" s="986">
        <f t="shared" si="28"/>
        <v>100</v>
      </c>
      <c r="I358" s="986">
        <f t="shared" ref="I358:AF358" si="38">IF(I16=0,100,I16/H16*H358)</f>
        <v>100</v>
      </c>
      <c r="J358" s="986">
        <f t="shared" si="38"/>
        <v>93.476842791911281</v>
      </c>
      <c r="K358" s="986">
        <f t="shared" si="38"/>
        <v>92.433137638617083</v>
      </c>
      <c r="L358" s="986">
        <f t="shared" si="38"/>
        <v>91.324200913242009</v>
      </c>
      <c r="M358" s="986">
        <f t="shared" si="38"/>
        <v>89.171559034572738</v>
      </c>
      <c r="N358" s="986">
        <f t="shared" si="38"/>
        <v>84.801043705153305</v>
      </c>
      <c r="O358" s="986">
        <f t="shared" si="38"/>
        <v>84.801043705153305</v>
      </c>
      <c r="P358" s="986">
        <f t="shared" si="38"/>
        <v>84.801043705153305</v>
      </c>
      <c r="Q358" s="986">
        <f t="shared" si="38"/>
        <v>94.585779517286383</v>
      </c>
      <c r="R358" s="986">
        <f t="shared" si="38"/>
        <v>94.585779517286383</v>
      </c>
      <c r="S358" s="986">
        <f t="shared" si="38"/>
        <v>94.585779517286383</v>
      </c>
      <c r="T358" s="986">
        <f t="shared" si="38"/>
        <v>97.847358121330743</v>
      </c>
      <c r="U358" s="986">
        <f t="shared" si="38"/>
        <v>97.847358121330743</v>
      </c>
      <c r="V358" s="986">
        <f t="shared" si="38"/>
        <v>97.847358121330743</v>
      </c>
      <c r="W358" s="986">
        <f t="shared" si="38"/>
        <v>97.847358121330743</v>
      </c>
      <c r="X358" s="986">
        <f t="shared" si="38"/>
        <v>97.847358121330743</v>
      </c>
      <c r="Y358" s="986">
        <f t="shared" si="38"/>
        <v>97.847358121330743</v>
      </c>
      <c r="Z358" s="986">
        <f t="shared" si="38"/>
        <v>91.324200913242024</v>
      </c>
      <c r="AA358" s="986">
        <f t="shared" si="38"/>
        <v>97.847358121330743</v>
      </c>
      <c r="AB358" s="986">
        <f t="shared" si="38"/>
        <v>91.324200913242024</v>
      </c>
      <c r="AC358" s="986">
        <f t="shared" si="38"/>
        <v>91.324200913242024</v>
      </c>
      <c r="AD358" s="986">
        <f t="shared" si="38"/>
        <v>91.324200913242024</v>
      </c>
      <c r="AE358" s="986">
        <f t="shared" si="38"/>
        <v>91.324200913242024</v>
      </c>
      <c r="AF358" s="986">
        <f t="shared" si="38"/>
        <v>95.672972385301179</v>
      </c>
    </row>
    <row r="359" spans="1:32" s="1010" customFormat="1" outlineLevel="4">
      <c r="A359" s="999"/>
      <c r="B359" s="999"/>
      <c r="C359" s="999"/>
      <c r="D359" s="1015">
        <f t="shared" si="30"/>
        <v>10</v>
      </c>
      <c r="E359" s="1014" t="s">
        <v>2035</v>
      </c>
      <c r="F359" s="1046">
        <f>+'[10]7'!$P$18+'[10]7'!$P$19</f>
        <v>4097.860428</v>
      </c>
      <c r="G359" s="987">
        <v>8.2750486931580875E-4</v>
      </c>
      <c r="H359" s="986">
        <f t="shared" si="28"/>
        <v>100</v>
      </c>
      <c r="I359" s="986">
        <f t="shared" ref="I359:AF359" si="39">IF(I17=0,100,I17/H17*H359)</f>
        <v>102.06249999999999</v>
      </c>
      <c r="J359" s="986">
        <f t="shared" si="39"/>
        <v>102.06249999999999</v>
      </c>
      <c r="K359" s="986">
        <f t="shared" si="39"/>
        <v>97.937499999999986</v>
      </c>
      <c r="L359" s="986">
        <f t="shared" si="39"/>
        <v>99.999999999999972</v>
      </c>
      <c r="M359" s="986">
        <f t="shared" si="39"/>
        <v>99.999999999999972</v>
      </c>
      <c r="N359" s="986">
        <f t="shared" si="39"/>
        <v>106.24999999999997</v>
      </c>
      <c r="O359" s="986">
        <f t="shared" si="39"/>
        <v>106.24999999999997</v>
      </c>
      <c r="P359" s="986">
        <f t="shared" si="39"/>
        <v>99.999999999999972</v>
      </c>
      <c r="Q359" s="986">
        <f t="shared" si="39"/>
        <v>102.06249999999996</v>
      </c>
      <c r="R359" s="986">
        <f t="shared" si="39"/>
        <v>102.06249999999996</v>
      </c>
      <c r="S359" s="986">
        <f t="shared" si="39"/>
        <v>102.06249999999996</v>
      </c>
      <c r="T359" s="986">
        <f t="shared" si="39"/>
        <v>106.24999999999994</v>
      </c>
      <c r="U359" s="986">
        <f t="shared" si="39"/>
        <v>112.49999999999994</v>
      </c>
      <c r="V359" s="986">
        <f t="shared" si="39"/>
        <v>112.49999999999994</v>
      </c>
      <c r="W359" s="986">
        <f t="shared" si="39"/>
        <v>112.49999999999994</v>
      </c>
      <c r="X359" s="986">
        <f t="shared" si="39"/>
        <v>112.49999999999994</v>
      </c>
      <c r="Y359" s="986">
        <f t="shared" si="39"/>
        <v>112.49999999999994</v>
      </c>
      <c r="Z359" s="986">
        <f t="shared" si="39"/>
        <v>112.49999999999994</v>
      </c>
      <c r="AA359" s="986">
        <f t="shared" si="39"/>
        <v>106.24999999999994</v>
      </c>
      <c r="AB359" s="986">
        <f t="shared" si="39"/>
        <v>106.24999999999994</v>
      </c>
      <c r="AC359" s="986">
        <f t="shared" si="39"/>
        <v>106.24999999999994</v>
      </c>
      <c r="AD359" s="986">
        <f t="shared" si="39"/>
        <v>106.24999999999994</v>
      </c>
      <c r="AE359" s="986">
        <f t="shared" si="39"/>
        <v>108.33333333333327</v>
      </c>
      <c r="AF359" s="986">
        <f t="shared" si="39"/>
        <v>108.33333333333327</v>
      </c>
    </row>
    <row r="360" spans="1:32" outlineLevel="3">
      <c r="A360" s="999"/>
      <c r="B360" s="1043">
        <v>2</v>
      </c>
      <c r="C360" s="1956" t="s">
        <v>2034</v>
      </c>
      <c r="D360" s="1956"/>
      <c r="E360" s="1956"/>
      <c r="F360" s="998">
        <f>SUM(F361:F369)</f>
        <v>416398.66261999996</v>
      </c>
      <c r="G360" s="997">
        <v>8.4085811839817171E-2</v>
      </c>
      <c r="H360" s="996">
        <f t="shared" ref="H360:AF360" si="40">+SUMPRODUCT(H361:H369,$G361:$G369)/$G360</f>
        <v>100</v>
      </c>
      <c r="I360" s="996">
        <f t="shared" si="40"/>
        <v>140.13298401896668</v>
      </c>
      <c r="J360" s="996">
        <f t="shared" si="40"/>
        <v>136.7911603146986</v>
      </c>
      <c r="K360" s="996">
        <f t="shared" si="40"/>
        <v>126.02460591639681</v>
      </c>
      <c r="L360" s="996">
        <f t="shared" si="40"/>
        <v>140.2709328811323</v>
      </c>
      <c r="M360" s="996">
        <f t="shared" si="40"/>
        <v>151.99682437909541</v>
      </c>
      <c r="N360" s="996">
        <f t="shared" si="40"/>
        <v>135.65571527979685</v>
      </c>
      <c r="O360" s="996">
        <f t="shared" si="40"/>
        <v>144.43679976341548</v>
      </c>
      <c r="P360" s="996">
        <f t="shared" si="40"/>
        <v>121.60553375314223</v>
      </c>
      <c r="Q360" s="996">
        <f t="shared" si="40"/>
        <v>139.62498321703237</v>
      </c>
      <c r="R360" s="996">
        <f t="shared" si="40"/>
        <v>142.09828440561611</v>
      </c>
      <c r="S360" s="996">
        <f t="shared" si="40"/>
        <v>147.6539296655034</v>
      </c>
      <c r="T360" s="996">
        <f t="shared" si="40"/>
        <v>157.29477093783214</v>
      </c>
      <c r="U360" s="996">
        <f t="shared" si="40"/>
        <v>167.13249542401314</v>
      </c>
      <c r="V360" s="996">
        <f t="shared" si="40"/>
        <v>189.89954461156384</v>
      </c>
      <c r="W360" s="996">
        <f t="shared" si="40"/>
        <v>232.95708880269444</v>
      </c>
      <c r="X360" s="996">
        <f t="shared" si="40"/>
        <v>242.59405064978944</v>
      </c>
      <c r="Y360" s="996">
        <f t="shared" si="40"/>
        <v>251.11562365328976</v>
      </c>
      <c r="Z360" s="996">
        <f t="shared" si="40"/>
        <v>262.38399658155959</v>
      </c>
      <c r="AA360" s="996">
        <f t="shared" si="40"/>
        <v>264.74331067165195</v>
      </c>
      <c r="AB360" s="996">
        <f t="shared" si="40"/>
        <v>232.93208402028972</v>
      </c>
      <c r="AC360" s="996">
        <f t="shared" si="40"/>
        <v>212.69394750570333</v>
      </c>
      <c r="AD360" s="996">
        <f t="shared" si="40"/>
        <v>203.14509028713439</v>
      </c>
      <c r="AE360" s="996">
        <f t="shared" si="40"/>
        <v>216.11108800098003</v>
      </c>
      <c r="AF360" s="996">
        <f t="shared" si="40"/>
        <v>224.10184690872882</v>
      </c>
    </row>
    <row r="361" spans="1:32" s="1010" customFormat="1" outlineLevel="4">
      <c r="A361" s="999"/>
      <c r="B361" s="999"/>
      <c r="C361" s="999"/>
      <c r="D361" s="1015">
        <f>+D359+1</f>
        <v>11</v>
      </c>
      <c r="E361" s="1017" t="s">
        <v>2033</v>
      </c>
      <c r="F361" s="1046">
        <f>+'[10]7'!$P$22</f>
        <v>110236.07800000001</v>
      </c>
      <c r="G361" s="987">
        <v>2.2260614513852181E-2</v>
      </c>
      <c r="H361" s="986">
        <f t="shared" ref="H361:H369" si="41">IF(H19=0,100,H19/H19*100)</f>
        <v>100</v>
      </c>
      <c r="I361" s="986">
        <f t="shared" ref="I361:AF361" si="42">IF(I19=0,100,I19/H19*H361)</f>
        <v>156.52173913043478</v>
      </c>
      <c r="J361" s="986">
        <f t="shared" si="42"/>
        <v>165.21739130434784</v>
      </c>
      <c r="K361" s="986">
        <f t="shared" si="42"/>
        <v>152.17391304347828</v>
      </c>
      <c r="L361" s="986">
        <f t="shared" si="42"/>
        <v>173.91304347826087</v>
      </c>
      <c r="M361" s="986">
        <f t="shared" si="42"/>
        <v>173.91304347826087</v>
      </c>
      <c r="N361" s="986">
        <f t="shared" si="42"/>
        <v>165.21739130434781</v>
      </c>
      <c r="O361" s="986">
        <f t="shared" si="42"/>
        <v>160.86956521739128</v>
      </c>
      <c r="P361" s="986">
        <f t="shared" si="42"/>
        <v>143.47826086956519</v>
      </c>
      <c r="Q361" s="986">
        <f t="shared" si="42"/>
        <v>169.56521739130432</v>
      </c>
      <c r="R361" s="986">
        <f t="shared" si="42"/>
        <v>169.56521739130432</v>
      </c>
      <c r="S361" s="986">
        <f t="shared" si="42"/>
        <v>169.56521739130432</v>
      </c>
      <c r="T361" s="986">
        <f t="shared" si="42"/>
        <v>176.82608695652169</v>
      </c>
      <c r="U361" s="986">
        <f t="shared" si="42"/>
        <v>182.60869565217388</v>
      </c>
      <c r="V361" s="986">
        <f t="shared" si="42"/>
        <v>217.39130434782604</v>
      </c>
      <c r="W361" s="986">
        <f t="shared" si="42"/>
        <v>282.60869565217388</v>
      </c>
      <c r="X361" s="986">
        <f t="shared" si="42"/>
        <v>282.60869565217388</v>
      </c>
      <c r="Y361" s="986">
        <f t="shared" si="42"/>
        <v>291.30434782608688</v>
      </c>
      <c r="Z361" s="986">
        <f t="shared" si="42"/>
        <v>295.65217391304344</v>
      </c>
      <c r="AA361" s="986">
        <f t="shared" si="42"/>
        <v>304.34782608695645</v>
      </c>
      <c r="AB361" s="986">
        <f t="shared" si="42"/>
        <v>273.91304347826082</v>
      </c>
      <c r="AC361" s="986">
        <f t="shared" si="42"/>
        <v>260.86956521739125</v>
      </c>
      <c r="AD361" s="986">
        <f t="shared" si="42"/>
        <v>226.0869565217391</v>
      </c>
      <c r="AE361" s="986">
        <f t="shared" si="42"/>
        <v>239.13043478260866</v>
      </c>
      <c r="AF361" s="986">
        <f t="shared" si="42"/>
        <v>247.82608695652169</v>
      </c>
    </row>
    <row r="362" spans="1:32" s="1010" customFormat="1" outlineLevel="4">
      <c r="A362" s="999"/>
      <c r="B362" s="999"/>
      <c r="C362" s="999"/>
      <c r="D362" s="1015">
        <f>+D361+1</f>
        <v>12</v>
      </c>
      <c r="E362" s="1017" t="s">
        <v>2032</v>
      </c>
      <c r="F362" s="1051">
        <f>+('[10]7'!$P$23+'[10]7'!$P$27)*0.5</f>
        <v>83329.938500000004</v>
      </c>
      <c r="G362" s="987">
        <v>1.6827300753674397E-2</v>
      </c>
      <c r="H362" s="986">
        <f t="shared" si="41"/>
        <v>100</v>
      </c>
      <c r="I362" s="986">
        <f t="shared" ref="I362:AF362" si="43">IF(I20=0,100,I20/H20*H362)</f>
        <v>150</v>
      </c>
      <c r="J362" s="986">
        <f t="shared" si="43"/>
        <v>148.82142857142856</v>
      </c>
      <c r="K362" s="986">
        <f t="shared" si="43"/>
        <v>132.14285714285714</v>
      </c>
      <c r="L362" s="986">
        <f t="shared" si="43"/>
        <v>147.60714285714286</v>
      </c>
      <c r="M362" s="986">
        <f t="shared" si="43"/>
        <v>170.25</v>
      </c>
      <c r="N362" s="986">
        <f t="shared" si="43"/>
        <v>142.85714285714286</v>
      </c>
      <c r="O362" s="986">
        <f t="shared" si="43"/>
        <v>158.32142857142858</v>
      </c>
      <c r="P362" s="986">
        <f t="shared" si="43"/>
        <v>129.75</v>
      </c>
      <c r="Q362" s="986">
        <f t="shared" si="43"/>
        <v>154.75</v>
      </c>
      <c r="R362" s="986">
        <f t="shared" si="43"/>
        <v>158.32142857142858</v>
      </c>
      <c r="S362" s="986">
        <f t="shared" si="43"/>
        <v>161.89285714285717</v>
      </c>
      <c r="T362" s="986">
        <f t="shared" si="43"/>
        <v>176.17857142857147</v>
      </c>
      <c r="U362" s="986">
        <f t="shared" si="43"/>
        <v>185.71428571428578</v>
      </c>
      <c r="V362" s="986">
        <f t="shared" si="43"/>
        <v>207.14285714285722</v>
      </c>
      <c r="W362" s="986">
        <f t="shared" si="43"/>
        <v>250.00000000000009</v>
      </c>
      <c r="X362" s="986">
        <f t="shared" si="43"/>
        <v>267.85714285714295</v>
      </c>
      <c r="Y362" s="986">
        <f t="shared" si="43"/>
        <v>278.57142857142867</v>
      </c>
      <c r="Z362" s="986">
        <f t="shared" si="43"/>
        <v>292.85714285714295</v>
      </c>
      <c r="AA362" s="986">
        <f t="shared" si="43"/>
        <v>292.85714285714295</v>
      </c>
      <c r="AB362" s="986">
        <f t="shared" si="43"/>
        <v>250.00000000000006</v>
      </c>
      <c r="AC362" s="986">
        <f t="shared" si="43"/>
        <v>212.50000000000006</v>
      </c>
      <c r="AD362" s="986">
        <f t="shared" si="43"/>
        <v>221.4285714285715</v>
      </c>
      <c r="AE362" s="986">
        <f t="shared" si="43"/>
        <v>238.09523809523822</v>
      </c>
      <c r="AF362" s="986">
        <f t="shared" si="43"/>
        <v>247.61904761904771</v>
      </c>
    </row>
    <row r="363" spans="1:32" s="1010" customFormat="1" outlineLevel="4">
      <c r="A363" s="999"/>
      <c r="B363" s="999"/>
      <c r="C363" s="999"/>
      <c r="D363" s="1015">
        <v>13</v>
      </c>
      <c r="E363" s="1045" t="s">
        <v>2031</v>
      </c>
      <c r="F363" s="1051">
        <f>+('[10]7'!$P$23+'[10]7'!$P$27)*0.5</f>
        <v>83329.938500000004</v>
      </c>
      <c r="G363" s="987">
        <v>1.6827300753674397E-2</v>
      </c>
      <c r="H363" s="986">
        <f t="shared" si="41"/>
        <v>100</v>
      </c>
      <c r="I363" s="986">
        <f t="shared" ref="I363:AF363" si="44">IF(I21=0,100,I21/H21*H363)</f>
        <v>141.93548387096774</v>
      </c>
      <c r="J363" s="986">
        <f t="shared" si="44"/>
        <v>138.70967741935485</v>
      </c>
      <c r="K363" s="986">
        <f t="shared" si="44"/>
        <v>119.35483870967742</v>
      </c>
      <c r="L363" s="986">
        <f t="shared" si="44"/>
        <v>133.32258064516131</v>
      </c>
      <c r="M363" s="986">
        <f t="shared" si="44"/>
        <v>153.77419354838713</v>
      </c>
      <c r="N363" s="986">
        <f t="shared" si="44"/>
        <v>133.32258064516131</v>
      </c>
      <c r="O363" s="986">
        <f t="shared" si="44"/>
        <v>146.22580645161293</v>
      </c>
      <c r="P363" s="986">
        <f t="shared" si="44"/>
        <v>117.19354838709678</v>
      </c>
      <c r="Q363" s="986">
        <f t="shared" si="44"/>
        <v>139.7741935483871</v>
      </c>
      <c r="R363" s="986">
        <f t="shared" si="44"/>
        <v>145.16129032258067</v>
      </c>
      <c r="S363" s="986">
        <f t="shared" si="44"/>
        <v>146.22580645161293</v>
      </c>
      <c r="T363" s="986">
        <f t="shared" si="44"/>
        <v>159.12903225806454</v>
      </c>
      <c r="U363" s="986">
        <f t="shared" si="44"/>
        <v>177.41935483870969</v>
      </c>
      <c r="V363" s="986">
        <f t="shared" si="44"/>
        <v>193.54838709677421</v>
      </c>
      <c r="W363" s="986">
        <f t="shared" si="44"/>
        <v>225.80645161290326</v>
      </c>
      <c r="X363" s="986">
        <f t="shared" si="44"/>
        <v>241.93548387096777</v>
      </c>
      <c r="Y363" s="986">
        <f t="shared" si="44"/>
        <v>258.06451612903231</v>
      </c>
      <c r="Z363" s="986">
        <f t="shared" si="44"/>
        <v>274.19354838709683</v>
      </c>
      <c r="AA363" s="986">
        <f t="shared" si="44"/>
        <v>274.19354838709683</v>
      </c>
      <c r="AB363" s="986">
        <f t="shared" si="44"/>
        <v>232.25806451612908</v>
      </c>
      <c r="AC363" s="986">
        <f t="shared" si="44"/>
        <v>217.741935483871</v>
      </c>
      <c r="AD363" s="986">
        <f t="shared" si="44"/>
        <v>209.67741935483872</v>
      </c>
      <c r="AE363" s="986">
        <f t="shared" si="44"/>
        <v>219.35483870967744</v>
      </c>
      <c r="AF363" s="986">
        <f t="shared" si="44"/>
        <v>223.65591397849462</v>
      </c>
    </row>
    <row r="364" spans="1:32" s="1010" customFormat="1" outlineLevel="4">
      <c r="A364" s="999"/>
      <c r="B364" s="999"/>
      <c r="C364" s="999"/>
      <c r="D364" s="1015">
        <f>+D363+1</f>
        <v>14</v>
      </c>
      <c r="E364" s="1017" t="s">
        <v>2030</v>
      </c>
      <c r="F364" s="1046">
        <f>+'[10]7'!$P$25+'[10]7'!$P$26</f>
        <v>62361.733350000002</v>
      </c>
      <c r="G364" s="987">
        <v>1.2593068727644588E-2</v>
      </c>
      <c r="H364" s="986">
        <f t="shared" si="41"/>
        <v>100</v>
      </c>
      <c r="I364" s="986">
        <f t="shared" ref="I364:AF364" si="45">IF(I22=0,100,I22/H22*H364)</f>
        <v>138.68</v>
      </c>
      <c r="J364" s="986">
        <f t="shared" si="45"/>
        <v>104</v>
      </c>
      <c r="K364" s="986">
        <f t="shared" si="45"/>
        <v>117.32</v>
      </c>
      <c r="L364" s="986">
        <f t="shared" si="45"/>
        <v>134.67999999999998</v>
      </c>
      <c r="M364" s="986">
        <f t="shared" si="45"/>
        <v>142.67999999999998</v>
      </c>
      <c r="N364" s="986">
        <f t="shared" si="45"/>
        <v>121.32</v>
      </c>
      <c r="O364" s="986">
        <f t="shared" si="45"/>
        <v>142.67999999999998</v>
      </c>
      <c r="P364" s="986">
        <f t="shared" si="45"/>
        <v>110.67999999999999</v>
      </c>
      <c r="Q364" s="986">
        <f t="shared" si="45"/>
        <v>110.67999999999999</v>
      </c>
      <c r="R364" s="986">
        <f t="shared" si="45"/>
        <v>110.67999999999999</v>
      </c>
      <c r="S364" s="986">
        <f t="shared" si="45"/>
        <v>135.99999999999997</v>
      </c>
      <c r="T364" s="986">
        <f t="shared" si="45"/>
        <v>141.31999999999996</v>
      </c>
      <c r="U364" s="986">
        <f t="shared" si="45"/>
        <v>151.99999999999994</v>
      </c>
      <c r="V364" s="986">
        <f t="shared" si="45"/>
        <v>183.99999999999994</v>
      </c>
      <c r="W364" s="986">
        <f t="shared" si="45"/>
        <v>211.99999999999994</v>
      </c>
      <c r="X364" s="986">
        <f t="shared" si="45"/>
        <v>223.99999999999994</v>
      </c>
      <c r="Y364" s="986">
        <f t="shared" si="45"/>
        <v>223.99999999999994</v>
      </c>
      <c r="Z364" s="986">
        <f t="shared" si="45"/>
        <v>247.99999999999994</v>
      </c>
      <c r="AA364" s="986">
        <f t="shared" si="45"/>
        <v>247.99999999999994</v>
      </c>
      <c r="AB364" s="986">
        <f t="shared" si="45"/>
        <v>219.99999999999994</v>
      </c>
      <c r="AC364" s="986">
        <f t="shared" si="45"/>
        <v>185.99999999999994</v>
      </c>
      <c r="AD364" s="986">
        <f t="shared" si="45"/>
        <v>181.99999999999994</v>
      </c>
      <c r="AE364" s="986">
        <f t="shared" si="45"/>
        <v>206.6666666666666</v>
      </c>
      <c r="AF364" s="986">
        <f t="shared" si="45"/>
        <v>219.99999999999991</v>
      </c>
    </row>
    <row r="365" spans="1:32" s="1010" customFormat="1" outlineLevel="4">
      <c r="A365" s="999"/>
      <c r="B365" s="999"/>
      <c r="C365" s="999"/>
      <c r="D365" s="1015">
        <f>+D364+1</f>
        <v>15</v>
      </c>
      <c r="E365" s="1017" t="s">
        <v>2029</v>
      </c>
      <c r="F365" s="1046">
        <f>+'[10]7'!$P$24</f>
        <v>5602.5505199999998</v>
      </c>
      <c r="G365" s="987">
        <v>1.1313557202216689E-3</v>
      </c>
      <c r="H365" s="986">
        <f t="shared" si="41"/>
        <v>100</v>
      </c>
      <c r="I365" s="986">
        <f t="shared" ref="I365:AF365" si="46">IF(I23=0,100,I23/H23*H365)</f>
        <v>136.17021276595744</v>
      </c>
      <c r="J365" s="986">
        <f t="shared" si="46"/>
        <v>131.91489361702128</v>
      </c>
      <c r="K365" s="986">
        <f t="shared" si="46"/>
        <v>114.8936170212766</v>
      </c>
      <c r="L365" s="986">
        <f t="shared" si="46"/>
        <v>119.14893617021276</v>
      </c>
      <c r="M365" s="986">
        <f t="shared" si="46"/>
        <v>119.14893617021276</v>
      </c>
      <c r="N365" s="986">
        <f t="shared" si="46"/>
        <v>112.04255319148936</v>
      </c>
      <c r="O365" s="986">
        <f t="shared" si="46"/>
        <v>112.04255319148936</v>
      </c>
      <c r="P365" s="986">
        <f t="shared" si="46"/>
        <v>100.72340425531915</v>
      </c>
      <c r="Q365" s="986">
        <f t="shared" si="46"/>
        <v>110.63829787234043</v>
      </c>
      <c r="R365" s="986">
        <f t="shared" si="46"/>
        <v>117.74468085106385</v>
      </c>
      <c r="S365" s="986">
        <f t="shared" si="46"/>
        <v>117.74468085106385</v>
      </c>
      <c r="T365" s="986">
        <f t="shared" si="46"/>
        <v>137.57446808510639</v>
      </c>
      <c r="U365" s="986">
        <f t="shared" si="46"/>
        <v>140.42553191489364</v>
      </c>
      <c r="V365" s="986">
        <f t="shared" si="46"/>
        <v>161.7021276595745</v>
      </c>
      <c r="W365" s="986">
        <f t="shared" si="46"/>
        <v>238.29787234042556</v>
      </c>
      <c r="X365" s="986">
        <f t="shared" si="46"/>
        <v>246.80851063829792</v>
      </c>
      <c r="Y365" s="986">
        <f t="shared" si="46"/>
        <v>246.80851063829792</v>
      </c>
      <c r="Z365" s="986">
        <f t="shared" si="46"/>
        <v>251.06382978723406</v>
      </c>
      <c r="AA365" s="986">
        <f t="shared" si="46"/>
        <v>255.31914893617022</v>
      </c>
      <c r="AB365" s="986">
        <f t="shared" si="46"/>
        <v>221.27659574468086</v>
      </c>
      <c r="AC365" s="986">
        <f t="shared" si="46"/>
        <v>204.2553191489362</v>
      </c>
      <c r="AD365" s="986">
        <f t="shared" si="46"/>
        <v>204.2553191489362</v>
      </c>
      <c r="AE365" s="986">
        <f t="shared" si="46"/>
        <v>217.02127659574469</v>
      </c>
      <c r="AF365" s="986">
        <f t="shared" si="46"/>
        <v>223.40425531914892</v>
      </c>
    </row>
    <row r="366" spans="1:32" s="1010" customFormat="1" outlineLevel="4">
      <c r="A366" s="999"/>
      <c r="B366" s="999"/>
      <c r="C366" s="999"/>
      <c r="D366" s="1015">
        <f>+D365+1</f>
        <v>16</v>
      </c>
      <c r="E366" s="1017" t="s">
        <v>2028</v>
      </c>
      <c r="F366" s="1046">
        <f>+'[10]7'!$P$33+'[10]7'!$P$37</f>
        <v>34097.29</v>
      </c>
      <c r="G366" s="987">
        <v>6.8854647446458207E-3</v>
      </c>
      <c r="H366" s="986">
        <f t="shared" si="41"/>
        <v>100</v>
      </c>
      <c r="I366" s="986">
        <f t="shared" ref="I366:AF366" si="47">IF(I24=0,100,I24/H24*H366)</f>
        <v>107.14285714285714</v>
      </c>
      <c r="J366" s="986">
        <f t="shared" si="47"/>
        <v>107.14285714285714</v>
      </c>
      <c r="K366" s="986">
        <f t="shared" si="47"/>
        <v>85.714285714285722</v>
      </c>
      <c r="L366" s="986">
        <f t="shared" si="47"/>
        <v>85.714285714285722</v>
      </c>
      <c r="M366" s="986">
        <f t="shared" si="47"/>
        <v>107.14285714285715</v>
      </c>
      <c r="N366" s="986">
        <f t="shared" si="47"/>
        <v>92.857142857142875</v>
      </c>
      <c r="O366" s="986">
        <f t="shared" si="47"/>
        <v>107.14285714285715</v>
      </c>
      <c r="P366" s="986">
        <f t="shared" si="47"/>
        <v>85.714285714285722</v>
      </c>
      <c r="Q366" s="986">
        <f t="shared" si="47"/>
        <v>100.00000000000001</v>
      </c>
      <c r="R366" s="986">
        <f t="shared" si="47"/>
        <v>107.14285714285715</v>
      </c>
      <c r="S366" s="986">
        <f t="shared" si="47"/>
        <v>109.50000000000001</v>
      </c>
      <c r="T366" s="986">
        <f t="shared" si="47"/>
        <v>119.0714285714286</v>
      </c>
      <c r="U366" s="986">
        <f t="shared" si="47"/>
        <v>128.57142857142858</v>
      </c>
      <c r="V366" s="986">
        <f t="shared" si="47"/>
        <v>128.57142857142858</v>
      </c>
      <c r="W366" s="986">
        <f t="shared" si="47"/>
        <v>178.57142857142858</v>
      </c>
      <c r="X366" s="986">
        <f t="shared" si="47"/>
        <v>185.71428571428572</v>
      </c>
      <c r="Y366" s="986">
        <f t="shared" si="47"/>
        <v>185.71428571428572</v>
      </c>
      <c r="Z366" s="986">
        <f t="shared" si="47"/>
        <v>178.57142857142858</v>
      </c>
      <c r="AA366" s="986">
        <f t="shared" si="47"/>
        <v>178.57142857142858</v>
      </c>
      <c r="AB366" s="986">
        <f t="shared" si="47"/>
        <v>164.28571428571431</v>
      </c>
      <c r="AC366" s="986">
        <f t="shared" si="47"/>
        <v>160.71428571428572</v>
      </c>
      <c r="AD366" s="986">
        <f t="shared" si="47"/>
        <v>160.71428571428572</v>
      </c>
      <c r="AE366" s="986">
        <f t="shared" si="47"/>
        <v>160.71428571428572</v>
      </c>
      <c r="AF366" s="986">
        <f t="shared" si="47"/>
        <v>164.28571428571428</v>
      </c>
    </row>
    <row r="367" spans="1:32" s="1010" customFormat="1" outlineLevel="4">
      <c r="A367" s="999"/>
      <c r="B367" s="999"/>
      <c r="C367" s="999"/>
      <c r="D367" s="1015">
        <f>+D366+1</f>
        <v>17</v>
      </c>
      <c r="E367" s="1017" t="s">
        <v>2027</v>
      </c>
      <c r="F367" s="1046">
        <f>+'[10]7'!$P$34</f>
        <v>31059.157799999997</v>
      </c>
      <c r="G367" s="987">
        <v>6.2719569804606532E-3</v>
      </c>
      <c r="H367" s="986">
        <f t="shared" si="41"/>
        <v>100</v>
      </c>
      <c r="I367" s="986">
        <f t="shared" ref="I367:AF367" si="48">IF(I25=0,100,I25/H25*H367)</f>
        <v>98.47727272727272</v>
      </c>
      <c r="J367" s="986">
        <f t="shared" si="48"/>
        <v>104.54545454545455</v>
      </c>
      <c r="K367" s="986">
        <f t="shared" si="48"/>
        <v>103.02272727272728</v>
      </c>
      <c r="L367" s="986">
        <f t="shared" si="48"/>
        <v>102.27272727272728</v>
      </c>
      <c r="M367" s="986">
        <f t="shared" si="48"/>
        <v>104.54545454545455</v>
      </c>
      <c r="N367" s="986">
        <f t="shared" si="48"/>
        <v>104.54545454545455</v>
      </c>
      <c r="O367" s="986">
        <f t="shared" si="48"/>
        <v>103.02272727272728</v>
      </c>
      <c r="P367" s="986">
        <f t="shared" si="48"/>
        <v>103.02272727272728</v>
      </c>
      <c r="Q367" s="986">
        <f t="shared" si="48"/>
        <v>106.81818181818181</v>
      </c>
      <c r="R367" s="986">
        <f t="shared" si="48"/>
        <v>106.81818181818181</v>
      </c>
      <c r="S367" s="986">
        <f t="shared" si="48"/>
        <v>115.15909090909092</v>
      </c>
      <c r="T367" s="986">
        <f t="shared" si="48"/>
        <v>121.20454545454548</v>
      </c>
      <c r="U367" s="986">
        <f t="shared" si="48"/>
        <v>125.00000000000004</v>
      </c>
      <c r="V367" s="986">
        <f t="shared" si="48"/>
        <v>136.3636363636364</v>
      </c>
      <c r="W367" s="986">
        <f t="shared" si="48"/>
        <v>154.54545454545459</v>
      </c>
      <c r="X367" s="986">
        <f t="shared" si="48"/>
        <v>159.09090909090912</v>
      </c>
      <c r="Y367" s="986">
        <f t="shared" si="48"/>
        <v>170.4545454545455</v>
      </c>
      <c r="Z367" s="986">
        <f t="shared" si="48"/>
        <v>181.81818181818187</v>
      </c>
      <c r="AA367" s="986">
        <f t="shared" si="48"/>
        <v>181.81818181818187</v>
      </c>
      <c r="AB367" s="986">
        <f t="shared" si="48"/>
        <v>170.4545454545455</v>
      </c>
      <c r="AC367" s="986">
        <f t="shared" si="48"/>
        <v>159.09090909090912</v>
      </c>
      <c r="AD367" s="986">
        <f t="shared" si="48"/>
        <v>159.09090909090912</v>
      </c>
      <c r="AE367" s="986">
        <f t="shared" si="48"/>
        <v>164.39393939393941</v>
      </c>
      <c r="AF367" s="986">
        <f t="shared" si="48"/>
        <v>171.969696969697</v>
      </c>
    </row>
    <row r="368" spans="1:32" s="1010" customFormat="1" outlineLevel="4">
      <c r="A368" s="999"/>
      <c r="B368" s="999"/>
      <c r="C368" s="999"/>
      <c r="D368" s="1015">
        <v>17</v>
      </c>
      <c r="E368" s="1045" t="s">
        <v>2026</v>
      </c>
      <c r="F368" s="1046">
        <f>+'[10]7'!$P$28+SUM('[10]7'!$P$29:$P$30)+SUM('[10]7'!$P$31:$P$32)</f>
        <v>2229.5878000000002</v>
      </c>
      <c r="G368" s="987">
        <v>4.5023367522734032E-4</v>
      </c>
      <c r="H368" s="986">
        <f t="shared" si="41"/>
        <v>100</v>
      </c>
      <c r="I368" s="986">
        <f t="shared" ref="I368:AF368" si="49">IF(I26=0,100,I26/H26*H368)</f>
        <v>103.83616959907702</v>
      </c>
      <c r="J368" s="986">
        <f t="shared" si="49"/>
        <v>110.55667724257283</v>
      </c>
      <c r="K368" s="986">
        <f t="shared" si="49"/>
        <v>110.55667724257283</v>
      </c>
      <c r="L368" s="986">
        <f t="shared" si="49"/>
        <v>110.55667724257283</v>
      </c>
      <c r="M368" s="986">
        <f t="shared" si="49"/>
        <v>106.72050764349582</v>
      </c>
      <c r="N368" s="986">
        <f t="shared" si="49"/>
        <v>106.72050764349582</v>
      </c>
      <c r="O368" s="986">
        <f t="shared" si="49"/>
        <v>106.72050764349582</v>
      </c>
      <c r="P368" s="986">
        <f t="shared" si="49"/>
        <v>106.72050764349582</v>
      </c>
      <c r="Q368" s="986">
        <f t="shared" si="49"/>
        <v>107.67233919815403</v>
      </c>
      <c r="R368" s="986">
        <f t="shared" si="49"/>
        <v>107.67233919815403</v>
      </c>
      <c r="S368" s="986">
        <f t="shared" si="49"/>
        <v>111.53735217767523</v>
      </c>
      <c r="T368" s="986">
        <f t="shared" si="49"/>
        <v>107.67233919815402</v>
      </c>
      <c r="U368" s="986">
        <f t="shared" si="49"/>
        <v>109.60484568791462</v>
      </c>
      <c r="V368" s="986">
        <f t="shared" si="49"/>
        <v>115.37352177675223</v>
      </c>
      <c r="W368" s="986">
        <f t="shared" si="49"/>
        <v>115.37352177675223</v>
      </c>
      <c r="X368" s="986">
        <f t="shared" si="49"/>
        <v>115.37352177675223</v>
      </c>
      <c r="Y368" s="986">
        <f t="shared" si="49"/>
        <v>115.37352177675223</v>
      </c>
      <c r="Z368" s="986">
        <f t="shared" si="49"/>
        <v>121.14219786558985</v>
      </c>
      <c r="AA368" s="986">
        <f t="shared" si="49"/>
        <v>121.14219786558985</v>
      </c>
      <c r="AB368" s="986">
        <f t="shared" si="49"/>
        <v>115.37352177675223</v>
      </c>
      <c r="AC368" s="986">
        <f t="shared" si="49"/>
        <v>115.37352177675223</v>
      </c>
      <c r="AD368" s="986">
        <f t="shared" si="49"/>
        <v>115.37352177675223</v>
      </c>
      <c r="AE368" s="986">
        <f t="shared" si="49"/>
        <v>111.52773771752716</v>
      </c>
      <c r="AF368" s="986">
        <f t="shared" si="49"/>
        <v>113.45062974713971</v>
      </c>
    </row>
    <row r="369" spans="1:32" s="1010" customFormat="1" outlineLevel="4">
      <c r="A369" s="999"/>
      <c r="B369" s="999"/>
      <c r="C369" s="999"/>
      <c r="D369" s="1015">
        <v>18</v>
      </c>
      <c r="E369" s="1026" t="s">
        <v>2025</v>
      </c>
      <c r="F369" s="1046">
        <f>SUM('[10]7'!$P$35:$P$36)+SUM('[10]7'!$P$38:$P$41)</f>
        <v>4152.3881500000007</v>
      </c>
      <c r="G369" s="987">
        <v>8.3851597041612654E-4</v>
      </c>
      <c r="H369" s="986">
        <f t="shared" si="41"/>
        <v>100</v>
      </c>
      <c r="I369" s="986">
        <f t="shared" ref="I369:AF369" si="50">IF(I27=0,100,I27/H27*H369)</f>
        <v>100</v>
      </c>
      <c r="J369" s="986">
        <f t="shared" si="50"/>
        <v>100</v>
      </c>
      <c r="K369" s="986">
        <f t="shared" si="50"/>
        <v>100</v>
      </c>
      <c r="L369" s="986">
        <f t="shared" si="50"/>
        <v>100</v>
      </c>
      <c r="M369" s="986">
        <f t="shared" si="50"/>
        <v>100</v>
      </c>
      <c r="N369" s="986">
        <f t="shared" si="50"/>
        <v>100</v>
      </c>
      <c r="O369" s="986">
        <f t="shared" si="50"/>
        <v>100</v>
      </c>
      <c r="P369" s="986">
        <f t="shared" si="50"/>
        <v>100</v>
      </c>
      <c r="Q369" s="986">
        <f t="shared" si="50"/>
        <v>100</v>
      </c>
      <c r="R369" s="986">
        <f t="shared" si="50"/>
        <v>100</v>
      </c>
      <c r="S369" s="986">
        <f t="shared" si="50"/>
        <v>100</v>
      </c>
      <c r="T369" s="986">
        <f t="shared" si="50"/>
        <v>100</v>
      </c>
      <c r="U369" s="986">
        <f t="shared" si="50"/>
        <v>102.91595197255575</v>
      </c>
      <c r="V369" s="986">
        <f t="shared" si="50"/>
        <v>111.49228130360206</v>
      </c>
      <c r="W369" s="986">
        <f t="shared" si="50"/>
        <v>120.06861063464837</v>
      </c>
      <c r="X369" s="986">
        <f t="shared" si="50"/>
        <v>120.06861063464837</v>
      </c>
      <c r="Y369" s="986">
        <f t="shared" si="50"/>
        <v>120.06861063464837</v>
      </c>
      <c r="Z369" s="986">
        <f t="shared" si="50"/>
        <v>128.64493996569468</v>
      </c>
      <c r="AA369" s="986">
        <f t="shared" si="50"/>
        <v>128.64493996569468</v>
      </c>
      <c r="AB369" s="986">
        <f t="shared" si="50"/>
        <v>120.06861063464837</v>
      </c>
      <c r="AC369" s="986">
        <f t="shared" si="50"/>
        <v>128.64493996569468</v>
      </c>
      <c r="AD369" s="986">
        <f t="shared" si="50"/>
        <v>137.22126929674099</v>
      </c>
      <c r="AE369" s="986">
        <f t="shared" si="50"/>
        <v>137.22126929674099</v>
      </c>
      <c r="AF369" s="986">
        <f t="shared" si="50"/>
        <v>134.36249285305888</v>
      </c>
    </row>
    <row r="370" spans="1:32" outlineLevel="3">
      <c r="A370" s="999"/>
      <c r="B370" s="1043">
        <v>3</v>
      </c>
      <c r="C370" s="1956" t="s">
        <v>2024</v>
      </c>
      <c r="D370" s="1956"/>
      <c r="E370" s="1956"/>
      <c r="F370" s="998">
        <f>SUM(F371:F376)</f>
        <v>143640.08726</v>
      </c>
      <c r="G370" s="997">
        <v>2.9006081033025766E-2</v>
      </c>
      <c r="H370" s="996">
        <f t="shared" ref="H370:AF370" si="51">+SUMPRODUCT(H371:H376,$G371:$G376)/$G370</f>
        <v>100.00000000000001</v>
      </c>
      <c r="I370" s="996">
        <f t="shared" si="51"/>
        <v>115.59315192549316</v>
      </c>
      <c r="J370" s="996">
        <f t="shared" si="51"/>
        <v>110.21243511707583</v>
      </c>
      <c r="K370" s="996">
        <f t="shared" si="51"/>
        <v>100.81517428374448</v>
      </c>
      <c r="L370" s="996">
        <f t="shared" si="51"/>
        <v>100.76047855069655</v>
      </c>
      <c r="M370" s="996">
        <f t="shared" si="51"/>
        <v>91.755824248585057</v>
      </c>
      <c r="N370" s="996">
        <f t="shared" si="51"/>
        <v>82.074294403408146</v>
      </c>
      <c r="O370" s="996">
        <f t="shared" si="51"/>
        <v>81.736376730302212</v>
      </c>
      <c r="P370" s="996">
        <f t="shared" si="51"/>
        <v>80.761702664063918</v>
      </c>
      <c r="Q370" s="996">
        <f t="shared" si="51"/>
        <v>81.898822408008613</v>
      </c>
      <c r="R370" s="996">
        <f t="shared" si="51"/>
        <v>95.570005795899107</v>
      </c>
      <c r="S370" s="996">
        <f t="shared" si="51"/>
        <v>98.507517245361484</v>
      </c>
      <c r="T370" s="996">
        <f t="shared" si="51"/>
        <v>108.97062494147535</v>
      </c>
      <c r="U370" s="996">
        <f t="shared" si="51"/>
        <v>115.00664276929118</v>
      </c>
      <c r="V370" s="996">
        <f t="shared" si="51"/>
        <v>116.49871849473929</v>
      </c>
      <c r="W370" s="996">
        <f t="shared" si="51"/>
        <v>115.6564254801167</v>
      </c>
      <c r="X370" s="996">
        <f t="shared" si="51"/>
        <v>107.17492886883429</v>
      </c>
      <c r="Y370" s="996">
        <f t="shared" si="51"/>
        <v>102.93418056319307</v>
      </c>
      <c r="Z370" s="996">
        <f t="shared" si="51"/>
        <v>92.063804543690807</v>
      </c>
      <c r="AA370" s="996">
        <f t="shared" si="51"/>
        <v>83.620188835016535</v>
      </c>
      <c r="AB370" s="996">
        <f t="shared" si="51"/>
        <v>80.826465208669916</v>
      </c>
      <c r="AC370" s="996">
        <f t="shared" si="51"/>
        <v>84.775614922300861</v>
      </c>
      <c r="AD370" s="996">
        <f t="shared" si="51"/>
        <v>93.15629124238707</v>
      </c>
      <c r="AE370" s="996">
        <f t="shared" si="51"/>
        <v>108.66427913949467</v>
      </c>
      <c r="AF370" s="996">
        <f t="shared" si="51"/>
        <v>114.81996007647616</v>
      </c>
    </row>
    <row r="371" spans="1:32" s="1010" customFormat="1" outlineLevel="4">
      <c r="A371" s="999"/>
      <c r="B371" s="999"/>
      <c r="C371" s="999"/>
      <c r="D371" s="1015">
        <v>19</v>
      </c>
      <c r="E371" s="1017" t="s">
        <v>2023</v>
      </c>
      <c r="F371" s="1051">
        <f>('[10]7'!$P$42+SUM('[10]7'!$P$52:$P$53,'[10]7'!$P$56)+'[10]7'!$P$54)*0.5</f>
        <v>59465.962124499994</v>
      </c>
      <c r="G371" s="987">
        <v>1.2008308745788548E-2</v>
      </c>
      <c r="H371" s="986">
        <f t="shared" ref="H371:H376" si="52">IF(H29=0,100,H29/H29*100)</f>
        <v>100</v>
      </c>
      <c r="I371" s="986">
        <f t="shared" ref="I371:AF371" si="53">IF(I29=0,100,I29/H29*H371)</f>
        <v>130</v>
      </c>
      <c r="J371" s="986">
        <f t="shared" si="53"/>
        <v>120</v>
      </c>
      <c r="K371" s="986">
        <f t="shared" si="53"/>
        <v>100</v>
      </c>
      <c r="L371" s="986">
        <f t="shared" si="53"/>
        <v>100</v>
      </c>
      <c r="M371" s="986">
        <f t="shared" si="53"/>
        <v>80</v>
      </c>
      <c r="N371" s="986">
        <f t="shared" si="53"/>
        <v>60</v>
      </c>
      <c r="O371" s="986">
        <f t="shared" si="53"/>
        <v>60</v>
      </c>
      <c r="P371" s="986">
        <f t="shared" si="53"/>
        <v>60</v>
      </c>
      <c r="Q371" s="986">
        <f t="shared" si="53"/>
        <v>60</v>
      </c>
      <c r="R371" s="986">
        <f t="shared" si="53"/>
        <v>90</v>
      </c>
      <c r="S371" s="986">
        <f t="shared" si="53"/>
        <v>96.7</v>
      </c>
      <c r="T371" s="986">
        <f t="shared" si="53"/>
        <v>120.00000000000001</v>
      </c>
      <c r="U371" s="986">
        <f t="shared" si="53"/>
        <v>130</v>
      </c>
      <c r="V371" s="986">
        <f t="shared" si="53"/>
        <v>130</v>
      </c>
      <c r="W371" s="986">
        <f t="shared" si="53"/>
        <v>130</v>
      </c>
      <c r="X371" s="986">
        <f t="shared" si="53"/>
        <v>110</v>
      </c>
      <c r="Y371" s="986">
        <f t="shared" si="53"/>
        <v>100</v>
      </c>
      <c r="Z371" s="986">
        <f t="shared" si="53"/>
        <v>80</v>
      </c>
      <c r="AA371" s="986">
        <f t="shared" si="53"/>
        <v>60</v>
      </c>
      <c r="AB371" s="986">
        <f t="shared" si="53"/>
        <v>53.3</v>
      </c>
      <c r="AC371" s="986">
        <f t="shared" si="53"/>
        <v>59.999999999999993</v>
      </c>
      <c r="AD371" s="986">
        <f t="shared" si="53"/>
        <v>79.999999999999986</v>
      </c>
      <c r="AE371" s="986">
        <f t="shared" si="53"/>
        <v>109.99999999999999</v>
      </c>
      <c r="AF371" s="986">
        <f t="shared" si="53"/>
        <v>119.99999999999997</v>
      </c>
    </row>
    <row r="372" spans="1:32" s="1010" customFormat="1" outlineLevel="4">
      <c r="A372" s="999"/>
      <c r="B372" s="999"/>
      <c r="C372" s="999"/>
      <c r="D372" s="1015">
        <f>+D371+1</f>
        <v>20</v>
      </c>
      <c r="E372" s="1017" t="s">
        <v>2022</v>
      </c>
      <c r="F372" s="1051">
        <f>('[10]7'!$P$42+SUM('[10]7'!$P$52:$P$53,'[10]7'!$P$56)+'[10]7'!$P$54)*0.5</f>
        <v>59465.962124499994</v>
      </c>
      <c r="G372" s="987">
        <v>1.2008308745788548E-2</v>
      </c>
      <c r="H372" s="986">
        <f t="shared" si="52"/>
        <v>100</v>
      </c>
      <c r="I372" s="986">
        <f t="shared" ref="I372:AF372" si="54">IF(I30=0,100,I30/H30*H372)</f>
        <v>100</v>
      </c>
      <c r="J372" s="986">
        <f t="shared" si="54"/>
        <v>100</v>
      </c>
      <c r="K372" s="986">
        <f t="shared" si="54"/>
        <v>100</v>
      </c>
      <c r="L372" s="986">
        <f t="shared" si="54"/>
        <v>100</v>
      </c>
      <c r="M372" s="986">
        <f t="shared" si="54"/>
        <v>100</v>
      </c>
      <c r="N372" s="986">
        <f t="shared" si="54"/>
        <v>101.96191575302942</v>
      </c>
      <c r="O372" s="986">
        <f t="shared" si="54"/>
        <v>101.96191575302942</v>
      </c>
      <c r="P372" s="986">
        <f t="shared" si="54"/>
        <v>101.96191575302942</v>
      </c>
      <c r="Q372" s="986">
        <f t="shared" si="54"/>
        <v>101.96191575302942</v>
      </c>
      <c r="R372" s="986">
        <f t="shared" si="54"/>
        <v>102.88517022504327</v>
      </c>
      <c r="S372" s="986">
        <f t="shared" si="54"/>
        <v>102.88517022504327</v>
      </c>
      <c r="T372" s="986">
        <f t="shared" si="54"/>
        <v>101.96191575302942</v>
      </c>
      <c r="U372" s="986">
        <f t="shared" si="54"/>
        <v>103.86612810155799</v>
      </c>
      <c r="V372" s="986">
        <f t="shared" si="54"/>
        <v>103.86612810155799</v>
      </c>
      <c r="W372" s="986">
        <f t="shared" si="54"/>
        <v>103.86612810155799</v>
      </c>
      <c r="X372" s="986">
        <f t="shared" si="54"/>
        <v>103.86612810155799</v>
      </c>
      <c r="Y372" s="986">
        <f t="shared" si="54"/>
        <v>103.86612810155799</v>
      </c>
      <c r="Z372" s="986">
        <f t="shared" si="54"/>
        <v>98.095787651471426</v>
      </c>
      <c r="AA372" s="986">
        <f t="shared" si="54"/>
        <v>98.095787651471426</v>
      </c>
      <c r="AB372" s="986">
        <f t="shared" si="54"/>
        <v>96.191575302942866</v>
      </c>
      <c r="AC372" s="986">
        <f t="shared" si="54"/>
        <v>98.095787651471426</v>
      </c>
      <c r="AD372" s="986">
        <f t="shared" si="54"/>
        <v>98.095787651471426</v>
      </c>
      <c r="AE372" s="986">
        <f t="shared" si="54"/>
        <v>100.98095787651469</v>
      </c>
      <c r="AF372" s="986">
        <f t="shared" si="54"/>
        <v>103.86612810155796</v>
      </c>
    </row>
    <row r="373" spans="1:32" s="1010" customFormat="1" outlineLevel="4">
      <c r="A373" s="999"/>
      <c r="B373" s="999"/>
      <c r="C373" s="999"/>
      <c r="D373" s="1015">
        <f>+D372+1</f>
        <v>21</v>
      </c>
      <c r="E373" s="1017" t="s">
        <v>2021</v>
      </c>
      <c r="F373" s="1046">
        <f>+'[10]7'!$P$43+'[10]7'!$P$46</f>
        <v>8298.2752</v>
      </c>
      <c r="G373" s="987">
        <v>1.6757191357720436E-3</v>
      </c>
      <c r="H373" s="986">
        <f t="shared" si="52"/>
        <v>100</v>
      </c>
      <c r="I373" s="986">
        <f t="shared" ref="I373:AF373" si="55">IF(I31=0,100,I31/H31*H373)</f>
        <v>150</v>
      </c>
      <c r="J373" s="986">
        <f t="shared" si="55"/>
        <v>140</v>
      </c>
      <c r="K373" s="986">
        <f t="shared" si="55"/>
        <v>123.3</v>
      </c>
      <c r="L373" s="986">
        <f t="shared" si="55"/>
        <v>123.3</v>
      </c>
      <c r="M373" s="986">
        <f t="shared" si="55"/>
        <v>110</v>
      </c>
      <c r="N373" s="986">
        <f t="shared" si="55"/>
        <v>83.300000000000011</v>
      </c>
      <c r="O373" s="986">
        <f t="shared" si="55"/>
        <v>80.000000000000014</v>
      </c>
      <c r="P373" s="986">
        <f t="shared" si="55"/>
        <v>80.000000000000014</v>
      </c>
      <c r="Q373" s="986">
        <f t="shared" si="55"/>
        <v>80.000000000000014</v>
      </c>
      <c r="R373" s="986">
        <f t="shared" si="55"/>
        <v>93.300000000000011</v>
      </c>
      <c r="S373" s="986">
        <f t="shared" si="55"/>
        <v>93.300000000000011</v>
      </c>
      <c r="T373" s="986">
        <f t="shared" si="55"/>
        <v>100.00000000000001</v>
      </c>
      <c r="U373" s="986">
        <f t="shared" si="55"/>
        <v>100.00000000000001</v>
      </c>
      <c r="V373" s="986">
        <f t="shared" si="55"/>
        <v>110.00000000000003</v>
      </c>
      <c r="W373" s="986">
        <f t="shared" si="55"/>
        <v>100.00000000000003</v>
      </c>
      <c r="X373" s="986">
        <f t="shared" si="55"/>
        <v>100.00000000000003</v>
      </c>
      <c r="Y373" s="986">
        <f t="shared" si="55"/>
        <v>100.00000000000003</v>
      </c>
      <c r="Z373" s="986">
        <f t="shared" si="55"/>
        <v>100.00000000000003</v>
      </c>
      <c r="AA373" s="986">
        <f t="shared" si="55"/>
        <v>100.00000000000003</v>
      </c>
      <c r="AB373" s="986">
        <f t="shared" si="55"/>
        <v>113.30000000000004</v>
      </c>
      <c r="AC373" s="986">
        <f t="shared" si="55"/>
        <v>120.00000000000006</v>
      </c>
      <c r="AD373" s="986">
        <f t="shared" si="55"/>
        <v>120.00000000000006</v>
      </c>
      <c r="AE373" s="986">
        <f t="shared" si="55"/>
        <v>133.33333333333337</v>
      </c>
      <c r="AF373" s="986">
        <f t="shared" si="55"/>
        <v>143.33333333333337</v>
      </c>
    </row>
    <row r="374" spans="1:32" s="1010" customFormat="1" outlineLevel="4">
      <c r="A374" s="999"/>
      <c r="B374" s="999"/>
      <c r="C374" s="999"/>
      <c r="D374" s="1015">
        <f>+D373+1</f>
        <v>22</v>
      </c>
      <c r="E374" s="1017" t="s">
        <v>2020</v>
      </c>
      <c r="F374" s="1046">
        <f>+'[10]7'!$P$45+SUM('[10]7'!$P$48:$P$51)</f>
        <v>2305.2005600000002</v>
      </c>
      <c r="G374" s="987">
        <v>4.6550260109286701E-4</v>
      </c>
      <c r="H374" s="986">
        <f t="shared" si="52"/>
        <v>100</v>
      </c>
      <c r="I374" s="986">
        <f t="shared" ref="I374:AF374" si="56">IF(I32=0,100,I32/H32*H374)</f>
        <v>102.04081632653062</v>
      </c>
      <c r="J374" s="986">
        <f t="shared" si="56"/>
        <v>106.79591836734694</v>
      </c>
      <c r="K374" s="986">
        <f t="shared" si="56"/>
        <v>97.285714285714292</v>
      </c>
      <c r="L374" s="986">
        <f t="shared" si="56"/>
        <v>93.877551020408177</v>
      </c>
      <c r="M374" s="986">
        <f t="shared" si="56"/>
        <v>96.591836734693899</v>
      </c>
      <c r="N374" s="986">
        <f t="shared" si="56"/>
        <v>95.244897959183703</v>
      </c>
      <c r="O374" s="986">
        <f t="shared" si="56"/>
        <v>98.632653061224516</v>
      </c>
      <c r="P374" s="986">
        <f t="shared" si="56"/>
        <v>98.632653061224516</v>
      </c>
      <c r="Q374" s="986">
        <f t="shared" si="56"/>
        <v>98.632653061224516</v>
      </c>
      <c r="R374" s="986">
        <f t="shared" si="56"/>
        <v>98.632653061224516</v>
      </c>
      <c r="S374" s="986">
        <f t="shared" si="56"/>
        <v>108.83673469387759</v>
      </c>
      <c r="T374" s="986">
        <f t="shared" si="56"/>
        <v>108.83673469387759</v>
      </c>
      <c r="U374" s="986">
        <f t="shared" si="56"/>
        <v>112.24489795918372</v>
      </c>
      <c r="V374" s="986">
        <f t="shared" si="56"/>
        <v>122.44897959183677</v>
      </c>
      <c r="W374" s="986">
        <f t="shared" si="56"/>
        <v>112.2448979591837</v>
      </c>
      <c r="X374" s="986">
        <f t="shared" si="56"/>
        <v>112.2448979591837</v>
      </c>
      <c r="Y374" s="986">
        <f t="shared" si="56"/>
        <v>112.2448979591837</v>
      </c>
      <c r="Z374" s="986">
        <f t="shared" si="56"/>
        <v>112.2448979591837</v>
      </c>
      <c r="AA374" s="986">
        <f t="shared" si="56"/>
        <v>102.04081632653063</v>
      </c>
      <c r="AB374" s="986">
        <f t="shared" si="56"/>
        <v>102.04081632653063</v>
      </c>
      <c r="AC374" s="986">
        <f t="shared" si="56"/>
        <v>102.04081632653063</v>
      </c>
      <c r="AD374" s="986">
        <f t="shared" si="56"/>
        <v>102.04081632653063</v>
      </c>
      <c r="AE374" s="986">
        <f t="shared" si="56"/>
        <v>112.2448979591837</v>
      </c>
      <c r="AF374" s="986">
        <f t="shared" si="56"/>
        <v>119.04761904761908</v>
      </c>
    </row>
    <row r="375" spans="1:32" s="1010" customFormat="1" outlineLevel="4">
      <c r="A375" s="999"/>
      <c r="B375" s="999"/>
      <c r="C375" s="999"/>
      <c r="D375" s="1015">
        <v>23</v>
      </c>
      <c r="E375" s="1045" t="s">
        <v>2019</v>
      </c>
      <c r="F375" s="1046">
        <f>+'[10]7'!$P$47</f>
        <v>1737.8202509999999</v>
      </c>
      <c r="G375" s="987">
        <v>3.5092818434520894E-4</v>
      </c>
      <c r="H375" s="986">
        <f t="shared" si="52"/>
        <v>100</v>
      </c>
      <c r="I375" s="986">
        <f t="shared" ref="I375:AF375" si="57">IF(I33=0,100,I33/H33*H375)</f>
        <v>120.83333333333333</v>
      </c>
      <c r="J375" s="986">
        <f t="shared" si="57"/>
        <v>100</v>
      </c>
      <c r="K375" s="986">
        <f t="shared" si="57"/>
        <v>100</v>
      </c>
      <c r="L375" s="986">
        <f t="shared" si="57"/>
        <v>100</v>
      </c>
      <c r="M375" s="986">
        <f t="shared" si="57"/>
        <v>100</v>
      </c>
      <c r="N375" s="986">
        <f t="shared" si="57"/>
        <v>100</v>
      </c>
      <c r="O375" s="986">
        <f t="shared" si="57"/>
        <v>83.333333333333343</v>
      </c>
      <c r="P375" s="986">
        <f t="shared" si="57"/>
        <v>83.333333333333343</v>
      </c>
      <c r="Q375" s="986">
        <f t="shared" si="57"/>
        <v>83.333333333333343</v>
      </c>
      <c r="R375" s="986">
        <f t="shared" si="57"/>
        <v>91.666666666666686</v>
      </c>
      <c r="S375" s="986">
        <f t="shared" si="57"/>
        <v>91.666666666666686</v>
      </c>
      <c r="T375" s="986">
        <f t="shared" si="57"/>
        <v>91.666666666666686</v>
      </c>
      <c r="U375" s="986">
        <f t="shared" si="57"/>
        <v>125.00000000000001</v>
      </c>
      <c r="V375" s="986">
        <f t="shared" si="57"/>
        <v>133.33333333333334</v>
      </c>
      <c r="W375" s="986">
        <f t="shared" si="57"/>
        <v>125.00000000000001</v>
      </c>
      <c r="X375" s="986">
        <f t="shared" si="57"/>
        <v>108.33333333333334</v>
      </c>
      <c r="Y375" s="986">
        <f t="shared" si="57"/>
        <v>100.00000000000001</v>
      </c>
      <c r="Z375" s="986">
        <f t="shared" si="57"/>
        <v>83.333333333333343</v>
      </c>
      <c r="AA375" s="986">
        <f t="shared" si="57"/>
        <v>83.333333333333343</v>
      </c>
      <c r="AB375" s="986">
        <f t="shared" si="57"/>
        <v>83.333333333333343</v>
      </c>
      <c r="AC375" s="986">
        <f t="shared" si="57"/>
        <v>83.333333333333343</v>
      </c>
      <c r="AD375" s="986">
        <f t="shared" si="57"/>
        <v>91.666666666666686</v>
      </c>
      <c r="AE375" s="986">
        <f t="shared" si="57"/>
        <v>108.33333333333336</v>
      </c>
      <c r="AF375" s="986">
        <f t="shared" si="57"/>
        <v>119.44444444444446</v>
      </c>
    </row>
    <row r="376" spans="1:32" s="1010" customFormat="1" outlineLevel="4">
      <c r="A376" s="999"/>
      <c r="B376" s="999"/>
      <c r="C376" s="999"/>
      <c r="D376" s="1015">
        <f>+D375+1</f>
        <v>24</v>
      </c>
      <c r="E376" s="1017" t="s">
        <v>2018</v>
      </c>
      <c r="F376" s="1046">
        <f>+'[10]7'!$P$44+'[10]7'!$P$55</f>
        <v>12366.866999999998</v>
      </c>
      <c r="G376" s="987">
        <v>2.4973136202385529E-3</v>
      </c>
      <c r="H376" s="986">
        <f t="shared" si="52"/>
        <v>100</v>
      </c>
      <c r="I376" s="986">
        <f t="shared" ref="I376:AF376" si="58">IF(I34=0,100,I34/H34*H376)</f>
        <v>100</v>
      </c>
      <c r="J376" s="986">
        <f t="shared" si="58"/>
        <v>94.339622641509436</v>
      </c>
      <c r="K376" s="986">
        <f t="shared" si="58"/>
        <v>94.339622641509436</v>
      </c>
      <c r="L376" s="986">
        <f t="shared" si="58"/>
        <v>94.339622641509436</v>
      </c>
      <c r="M376" s="986">
        <f t="shared" si="58"/>
        <v>94.339622641509436</v>
      </c>
      <c r="N376" s="986">
        <f t="shared" si="58"/>
        <v>86.79245283018868</v>
      </c>
      <c r="O376" s="986">
        <f t="shared" si="58"/>
        <v>86.79245283018868</v>
      </c>
      <c r="P376" s="986">
        <f t="shared" si="58"/>
        <v>75.471698113207552</v>
      </c>
      <c r="Q376" s="986">
        <f t="shared" si="58"/>
        <v>88.679245283018872</v>
      </c>
      <c r="R376" s="986">
        <f t="shared" si="58"/>
        <v>88.679245283018872</v>
      </c>
      <c r="S376" s="986">
        <f t="shared" si="58"/>
        <v>88.679245283018872</v>
      </c>
      <c r="T376" s="986">
        <f t="shared" si="58"/>
        <v>98.113207547169822</v>
      </c>
      <c r="U376" s="986">
        <f t="shared" si="58"/>
        <v>105.66037735849058</v>
      </c>
      <c r="V376" s="986">
        <f t="shared" si="58"/>
        <v>113.20754716981133</v>
      </c>
      <c r="W376" s="986">
        <f t="shared" si="58"/>
        <v>113.20754716981133</v>
      </c>
      <c r="X376" s="986">
        <f t="shared" si="58"/>
        <v>113.20754716981133</v>
      </c>
      <c r="Y376" s="986">
        <f t="shared" si="58"/>
        <v>113.20754716981133</v>
      </c>
      <c r="Z376" s="986">
        <f t="shared" si="58"/>
        <v>113.20754716981133</v>
      </c>
      <c r="AA376" s="986">
        <f t="shared" si="58"/>
        <v>113.20754716981133</v>
      </c>
      <c r="AB376" s="986">
        <f t="shared" si="58"/>
        <v>113.20754716981133</v>
      </c>
      <c r="AC376" s="986">
        <f t="shared" si="58"/>
        <v>113.20754716981133</v>
      </c>
      <c r="AD376" s="986">
        <f t="shared" si="58"/>
        <v>113.20754716981133</v>
      </c>
      <c r="AE376" s="986">
        <f t="shared" si="58"/>
        <v>122.01257861635222</v>
      </c>
      <c r="AF376" s="986">
        <f t="shared" si="58"/>
        <v>122.01257861635222</v>
      </c>
    </row>
    <row r="377" spans="1:32" outlineLevel="3">
      <c r="A377" s="999"/>
      <c r="B377" s="1043">
        <v>4</v>
      </c>
      <c r="C377" s="1956" t="s">
        <v>2017</v>
      </c>
      <c r="D377" s="1956"/>
      <c r="E377" s="1956"/>
      <c r="F377" s="998">
        <f>SUM(F378:F381)</f>
        <v>83288.638947999993</v>
      </c>
      <c r="G377" s="997">
        <v>1.6818960894135242E-2</v>
      </c>
      <c r="H377" s="996">
        <f t="shared" ref="H377:AF377" si="59">+SUMPRODUCT(H378:H381,$G378:$G381)/$G377</f>
        <v>100.00000000000001</v>
      </c>
      <c r="I377" s="996">
        <f t="shared" si="59"/>
        <v>101.6018592060193</v>
      </c>
      <c r="J377" s="996">
        <f t="shared" si="59"/>
        <v>106.51977919460406</v>
      </c>
      <c r="K377" s="996">
        <f t="shared" si="59"/>
        <v>104.95790249905383</v>
      </c>
      <c r="L377" s="996">
        <f t="shared" si="59"/>
        <v>101.80041592923378</v>
      </c>
      <c r="M377" s="996">
        <f t="shared" si="59"/>
        <v>99.292724696597531</v>
      </c>
      <c r="N377" s="996">
        <f t="shared" si="59"/>
        <v>98.977386554254892</v>
      </c>
      <c r="O377" s="996">
        <f t="shared" si="59"/>
        <v>98.977386554254892</v>
      </c>
      <c r="P377" s="996">
        <f t="shared" si="59"/>
        <v>101.43762278939221</v>
      </c>
      <c r="Q377" s="996">
        <f t="shared" si="59"/>
        <v>106.9240732640547</v>
      </c>
      <c r="R377" s="996">
        <f t="shared" si="59"/>
        <v>106.9240732640547</v>
      </c>
      <c r="S377" s="996">
        <f t="shared" si="59"/>
        <v>106.9240732640547</v>
      </c>
      <c r="T377" s="996">
        <f t="shared" si="59"/>
        <v>107.82497745105115</v>
      </c>
      <c r="U377" s="996">
        <f t="shared" si="59"/>
        <v>112.31514679560357</v>
      </c>
      <c r="V377" s="996">
        <f t="shared" si="59"/>
        <v>118.05791734361097</v>
      </c>
      <c r="W377" s="996">
        <f t="shared" si="59"/>
        <v>114.51026410562213</v>
      </c>
      <c r="X377" s="996">
        <f t="shared" si="59"/>
        <v>112.02063598963849</v>
      </c>
      <c r="Y377" s="996">
        <f t="shared" si="59"/>
        <v>112.29599844059439</v>
      </c>
      <c r="Z377" s="996">
        <f t="shared" si="59"/>
        <v>112.33942312241268</v>
      </c>
      <c r="AA377" s="996">
        <f t="shared" si="59"/>
        <v>111.70529784729585</v>
      </c>
      <c r="AB377" s="996">
        <f t="shared" si="59"/>
        <v>111.49507241906743</v>
      </c>
      <c r="AC377" s="996">
        <f t="shared" si="59"/>
        <v>112.53632354943424</v>
      </c>
      <c r="AD377" s="996">
        <f t="shared" si="59"/>
        <v>112.58887990649134</v>
      </c>
      <c r="AE377" s="996">
        <f t="shared" si="59"/>
        <v>114.04089032836471</v>
      </c>
      <c r="AF377" s="996">
        <f t="shared" si="59"/>
        <v>114.92722127779595</v>
      </c>
    </row>
    <row r="378" spans="1:32" s="1010" customFormat="1" outlineLevel="4">
      <c r="A378" s="999"/>
      <c r="B378" s="999"/>
      <c r="C378" s="999"/>
      <c r="D378" s="1015">
        <f>+D376+1</f>
        <v>25</v>
      </c>
      <c r="E378" s="1017" t="s">
        <v>2016</v>
      </c>
      <c r="F378" s="1046">
        <f>+'[10]7'!$P$59+'[10]7'!$P$63</f>
        <v>42645.700999999994</v>
      </c>
      <c r="G378" s="987">
        <v>8.6116952621808646E-3</v>
      </c>
      <c r="H378" s="986">
        <f>IF(H36=0,100,H36/H36*100)</f>
        <v>100</v>
      </c>
      <c r="I378" s="986">
        <f t="shared" ref="I378:AF378" si="60">IF(I36=0,100,I36/H36*H378)</f>
        <v>102.79166666666666</v>
      </c>
      <c r="J378" s="986">
        <f t="shared" si="60"/>
        <v>106.95833333333333</v>
      </c>
      <c r="K378" s="986">
        <f t="shared" si="60"/>
        <v>106.95833333333333</v>
      </c>
      <c r="L378" s="986">
        <f t="shared" si="60"/>
        <v>106.95833333333333</v>
      </c>
      <c r="M378" s="986">
        <f t="shared" si="60"/>
        <v>104.16666666666666</v>
      </c>
      <c r="N378" s="986">
        <f t="shared" si="60"/>
        <v>104.16666666666666</v>
      </c>
      <c r="O378" s="986">
        <f t="shared" si="60"/>
        <v>104.16666666666666</v>
      </c>
      <c r="P378" s="986">
        <f t="shared" si="60"/>
        <v>106.95833333333331</v>
      </c>
      <c r="Q378" s="986">
        <f t="shared" si="60"/>
        <v>109.70833333333331</v>
      </c>
      <c r="R378" s="986">
        <f t="shared" si="60"/>
        <v>109.70833333333331</v>
      </c>
      <c r="S378" s="986">
        <f t="shared" si="60"/>
        <v>109.70833333333331</v>
      </c>
      <c r="T378" s="986">
        <f t="shared" si="60"/>
        <v>111.12499999999999</v>
      </c>
      <c r="U378" s="986">
        <f t="shared" si="60"/>
        <v>112.5</v>
      </c>
      <c r="V378" s="986">
        <f t="shared" si="60"/>
        <v>116.66666666666666</v>
      </c>
      <c r="W378" s="986">
        <f t="shared" si="60"/>
        <v>116.66666666666666</v>
      </c>
      <c r="X378" s="986">
        <f t="shared" si="60"/>
        <v>116.66666666666666</v>
      </c>
      <c r="Y378" s="986">
        <f t="shared" si="60"/>
        <v>116.66666666666666</v>
      </c>
      <c r="Z378" s="986">
        <f t="shared" si="60"/>
        <v>116.66666666666666</v>
      </c>
      <c r="AA378" s="986">
        <f t="shared" si="60"/>
        <v>116.66666666666666</v>
      </c>
      <c r="AB378" s="986">
        <f t="shared" si="60"/>
        <v>116.66666666666666</v>
      </c>
      <c r="AC378" s="986">
        <f t="shared" si="60"/>
        <v>116.66666666666666</v>
      </c>
      <c r="AD378" s="986">
        <f t="shared" si="60"/>
        <v>116.66666666666666</v>
      </c>
      <c r="AE378" s="986">
        <f t="shared" si="60"/>
        <v>113.88888888888889</v>
      </c>
      <c r="AF378" s="986">
        <f t="shared" si="60"/>
        <v>115.27777777777776</v>
      </c>
    </row>
    <row r="379" spans="1:32" s="1010" customFormat="1" outlineLevel="4">
      <c r="A379" s="999"/>
      <c r="B379" s="999"/>
      <c r="C379" s="999"/>
      <c r="D379" s="1015">
        <f>+D378+1</f>
        <v>26</v>
      </c>
      <c r="E379" s="1017" t="s">
        <v>2015</v>
      </c>
      <c r="F379" s="1046">
        <f>+'[10]7'!$P$60+'[10]7'!$P$64</f>
        <v>1371.86069</v>
      </c>
      <c r="G379" s="987">
        <v>2.7702783463320657E-4</v>
      </c>
      <c r="H379" s="986">
        <f>IF(H37=0,100,H37/H37*100)</f>
        <v>100</v>
      </c>
      <c r="I379" s="986">
        <f t="shared" ref="I379:AF379" si="61">IF(I37=0,100,I37/H37*H379)</f>
        <v>104.211869814933</v>
      </c>
      <c r="J379" s="986">
        <f t="shared" si="61"/>
        <v>100</v>
      </c>
      <c r="K379" s="986">
        <f t="shared" si="61"/>
        <v>100</v>
      </c>
      <c r="L379" s="986">
        <f t="shared" si="61"/>
        <v>100</v>
      </c>
      <c r="M379" s="986">
        <f t="shared" si="61"/>
        <v>78.685386088066366</v>
      </c>
      <c r="N379" s="986">
        <f t="shared" si="61"/>
        <v>59.540523292916397</v>
      </c>
      <c r="O379" s="986">
        <f t="shared" si="61"/>
        <v>59.540523292916397</v>
      </c>
      <c r="P379" s="986">
        <f t="shared" si="61"/>
        <v>59.540523292916397</v>
      </c>
      <c r="Q379" s="986">
        <f t="shared" si="61"/>
        <v>59.540523292916397</v>
      </c>
      <c r="R379" s="986">
        <f t="shared" si="61"/>
        <v>59.540523292916397</v>
      </c>
      <c r="S379" s="986">
        <f t="shared" si="61"/>
        <v>59.540523292916397</v>
      </c>
      <c r="T379" s="986">
        <f t="shared" si="61"/>
        <v>70.197830248883207</v>
      </c>
      <c r="U379" s="986">
        <f t="shared" si="61"/>
        <v>76.579451180599861</v>
      </c>
      <c r="V379" s="986">
        <f t="shared" si="61"/>
        <v>82.961072112316515</v>
      </c>
      <c r="W379" s="986">
        <f t="shared" si="61"/>
        <v>95.724313975749823</v>
      </c>
      <c r="X379" s="986">
        <f t="shared" si="61"/>
        <v>95.724313975749823</v>
      </c>
      <c r="Y379" s="986">
        <f t="shared" si="61"/>
        <v>89.342693044033169</v>
      </c>
      <c r="Z379" s="986">
        <f t="shared" si="61"/>
        <v>76.579451180599861</v>
      </c>
      <c r="AA379" s="986">
        <f t="shared" si="61"/>
        <v>76.579451180599861</v>
      </c>
      <c r="AB379" s="986">
        <f t="shared" si="61"/>
        <v>63.816209317166553</v>
      </c>
      <c r="AC379" s="986">
        <f t="shared" si="61"/>
        <v>63.816209317166553</v>
      </c>
      <c r="AD379" s="986">
        <f t="shared" si="61"/>
        <v>67.007019783024887</v>
      </c>
      <c r="AE379" s="986">
        <f t="shared" si="61"/>
        <v>76.579451180599861</v>
      </c>
      <c r="AF379" s="986">
        <f t="shared" si="61"/>
        <v>87.215486066794298</v>
      </c>
    </row>
    <row r="380" spans="1:32" s="1010" customFormat="1" outlineLevel="4">
      <c r="A380" s="999"/>
      <c r="B380" s="999"/>
      <c r="C380" s="999"/>
      <c r="D380" s="1015">
        <f>+D379+1</f>
        <v>27</v>
      </c>
      <c r="E380" s="1017" t="s">
        <v>2014</v>
      </c>
      <c r="F380" s="1046">
        <f>+'[10]7'!$P$62+'[10]7'!$P$61</f>
        <v>4576.9852580000006</v>
      </c>
      <c r="G380" s="987">
        <v>9.2425734217360558E-4</v>
      </c>
      <c r="H380" s="986">
        <f>IF(H38=0,100,H38/H38*100)</f>
        <v>100</v>
      </c>
      <c r="I380" s="986">
        <f t="shared" ref="I380:AF380" si="62">IF(I38=0,100,I38/H38*H380)</f>
        <v>111.53934918070621</v>
      </c>
      <c r="J380" s="986">
        <f t="shared" si="62"/>
        <v>125.38656819755367</v>
      </c>
      <c r="K380" s="986">
        <f t="shared" si="62"/>
        <v>125.38656819755367</v>
      </c>
      <c r="L380" s="986">
        <f t="shared" si="62"/>
        <v>115.39349180706211</v>
      </c>
      <c r="M380" s="986">
        <f t="shared" si="62"/>
        <v>111.53934918070624</v>
      </c>
      <c r="N380" s="986">
        <f t="shared" si="62"/>
        <v>111.53934918070624</v>
      </c>
      <c r="O380" s="986">
        <f t="shared" si="62"/>
        <v>111.53934918070624</v>
      </c>
      <c r="P380" s="986">
        <f t="shared" si="62"/>
        <v>111.53934918070624</v>
      </c>
      <c r="Q380" s="986">
        <f t="shared" si="62"/>
        <v>119.24763443341797</v>
      </c>
      <c r="R380" s="986">
        <f t="shared" si="62"/>
        <v>119.24763443341797</v>
      </c>
      <c r="S380" s="986">
        <f t="shared" si="62"/>
        <v>119.24763443341797</v>
      </c>
      <c r="T380" s="986">
        <f t="shared" si="62"/>
        <v>119.24763443341797</v>
      </c>
      <c r="U380" s="986">
        <f t="shared" si="62"/>
        <v>120.00923147934458</v>
      </c>
      <c r="V380" s="986">
        <f t="shared" si="62"/>
        <v>126.9328409877683</v>
      </c>
      <c r="W380" s="986">
        <f t="shared" si="62"/>
        <v>115.39349180706209</v>
      </c>
      <c r="X380" s="986">
        <f t="shared" si="62"/>
        <v>126.93284098776832</v>
      </c>
      <c r="Y380" s="986">
        <f t="shared" si="62"/>
        <v>133.85645049619202</v>
      </c>
      <c r="Z380" s="986">
        <f t="shared" si="62"/>
        <v>138.47219016847453</v>
      </c>
      <c r="AA380" s="986">
        <f t="shared" si="62"/>
        <v>126.93284098776832</v>
      </c>
      <c r="AB380" s="986">
        <f t="shared" si="62"/>
        <v>126.93284098776832</v>
      </c>
      <c r="AC380" s="986">
        <f t="shared" si="62"/>
        <v>126.93284098776832</v>
      </c>
      <c r="AD380" s="986">
        <f t="shared" si="62"/>
        <v>126.93284098776832</v>
      </c>
      <c r="AE380" s="986">
        <f t="shared" si="62"/>
        <v>138.47219016847453</v>
      </c>
      <c r="AF380" s="986">
        <f t="shared" si="62"/>
        <v>138.47219016847453</v>
      </c>
    </row>
    <row r="381" spans="1:32" s="1010" customFormat="1" outlineLevel="4">
      <c r="A381" s="999"/>
      <c r="B381" s="999"/>
      <c r="C381" s="999"/>
      <c r="D381" s="1015">
        <f>+D380+1</f>
        <v>28</v>
      </c>
      <c r="E381" s="1017" t="s">
        <v>2013</v>
      </c>
      <c r="F381" s="1046">
        <f>+'[10]7'!$P$57+'[10]7'!$P$58</f>
        <v>34694.091999999997</v>
      </c>
      <c r="G381" s="987">
        <v>7.0059804551475665E-3</v>
      </c>
      <c r="H381" s="986">
        <f>IF(H39=0,100,H39/H39*100)</f>
        <v>100</v>
      </c>
      <c r="I381" s="986">
        <f t="shared" ref="I381:AF381" si="63">IF(I39=0,100,I39/H39*H381)</f>
        <v>98.725159355080621</v>
      </c>
      <c r="J381" s="986">
        <f t="shared" si="63"/>
        <v>103.74953130858643</v>
      </c>
      <c r="K381" s="986">
        <f t="shared" si="63"/>
        <v>100</v>
      </c>
      <c r="L381" s="986">
        <f t="shared" si="63"/>
        <v>93.73828271466067</v>
      </c>
      <c r="M381" s="986">
        <f t="shared" si="63"/>
        <v>92.500937382827146</v>
      </c>
      <c r="N381" s="986">
        <f t="shared" si="63"/>
        <v>92.500937382827146</v>
      </c>
      <c r="O381" s="986">
        <f t="shared" si="63"/>
        <v>92.500937382827146</v>
      </c>
      <c r="P381" s="986">
        <f t="shared" si="63"/>
        <v>94.97562804649418</v>
      </c>
      <c r="Q381" s="986">
        <f t="shared" si="63"/>
        <v>103.74953130858643</v>
      </c>
      <c r="R381" s="986">
        <f t="shared" si="63"/>
        <v>103.74953130858643</v>
      </c>
      <c r="S381" s="986">
        <f t="shared" si="63"/>
        <v>103.74953130858643</v>
      </c>
      <c r="T381" s="986">
        <f t="shared" si="63"/>
        <v>103.74953130858643</v>
      </c>
      <c r="U381" s="986">
        <f t="shared" si="63"/>
        <v>112.4859392575928</v>
      </c>
      <c r="V381" s="986">
        <f t="shared" si="63"/>
        <v>119.98500187476566</v>
      </c>
      <c r="W381" s="986">
        <f t="shared" si="63"/>
        <v>112.4859392575928</v>
      </c>
      <c r="X381" s="986">
        <f t="shared" si="63"/>
        <v>104.98687664041995</v>
      </c>
      <c r="Y381" s="986">
        <f t="shared" si="63"/>
        <v>104.98687664041995</v>
      </c>
      <c r="Z381" s="986">
        <f t="shared" si="63"/>
        <v>104.98687664041995</v>
      </c>
      <c r="AA381" s="986">
        <f t="shared" si="63"/>
        <v>104.98687664041995</v>
      </c>
      <c r="AB381" s="986">
        <f t="shared" si="63"/>
        <v>104.98687664041995</v>
      </c>
      <c r="AC381" s="986">
        <f t="shared" si="63"/>
        <v>107.48656417947755</v>
      </c>
      <c r="AD381" s="986">
        <f t="shared" si="63"/>
        <v>107.48656417947755</v>
      </c>
      <c r="AE381" s="986">
        <f t="shared" si="63"/>
        <v>112.4859392575928</v>
      </c>
      <c r="AF381" s="986">
        <f t="shared" si="63"/>
        <v>112.4859392575928</v>
      </c>
    </row>
    <row r="382" spans="1:32" outlineLevel="3">
      <c r="A382" s="999"/>
      <c r="B382" s="1050">
        <v>5</v>
      </c>
      <c r="C382" s="1956" t="s">
        <v>2012</v>
      </c>
      <c r="D382" s="1956"/>
      <c r="E382" s="1956"/>
      <c r="F382" s="998">
        <f>SUM(F383:F386)</f>
        <v>38525.06601000001</v>
      </c>
      <c r="G382" s="997">
        <v>7.7795913926593007E-3</v>
      </c>
      <c r="H382" s="996">
        <f t="shared" ref="H382:AF382" si="64">+SUMPRODUCT(H383:H386,$G383:$G386)/$G382</f>
        <v>100.00000000000001</v>
      </c>
      <c r="I382" s="996">
        <f t="shared" si="64"/>
        <v>100.00000000000001</v>
      </c>
      <c r="J382" s="996">
        <f t="shared" si="64"/>
        <v>116.5540659193741</v>
      </c>
      <c r="K382" s="996">
        <f t="shared" si="64"/>
        <v>102.66855976977411</v>
      </c>
      <c r="L382" s="996">
        <f t="shared" si="64"/>
        <v>116.55406591937411</v>
      </c>
      <c r="M382" s="996">
        <f t="shared" si="64"/>
        <v>117.93864878504526</v>
      </c>
      <c r="N382" s="996">
        <f t="shared" si="64"/>
        <v>118.76939850444796</v>
      </c>
      <c r="O382" s="996">
        <f t="shared" si="64"/>
        <v>117.93864878504526</v>
      </c>
      <c r="P382" s="996">
        <f t="shared" si="64"/>
        <v>116.55406591937411</v>
      </c>
      <c r="Q382" s="996">
        <f t="shared" si="64"/>
        <v>116.55406591937411</v>
      </c>
      <c r="R382" s="996">
        <f t="shared" si="64"/>
        <v>116.55406591937411</v>
      </c>
      <c r="S382" s="996">
        <f t="shared" si="64"/>
        <v>117.72407670616104</v>
      </c>
      <c r="T382" s="996">
        <f t="shared" si="64"/>
        <v>123.58223665701051</v>
      </c>
      <c r="U382" s="996">
        <f t="shared" si="64"/>
        <v>124.46355085350758</v>
      </c>
      <c r="V382" s="996">
        <f t="shared" si="64"/>
        <v>125.84813371917873</v>
      </c>
      <c r="W382" s="996">
        <f t="shared" si="64"/>
        <v>125.84813371917873</v>
      </c>
      <c r="X382" s="996">
        <f t="shared" si="64"/>
        <v>132.37303578764104</v>
      </c>
      <c r="Y382" s="996">
        <f t="shared" si="64"/>
        <v>132.37303578764104</v>
      </c>
      <c r="Z382" s="996">
        <f t="shared" si="64"/>
        <v>119.40167157072879</v>
      </c>
      <c r="AA382" s="996">
        <f t="shared" si="64"/>
        <v>122.96125631865959</v>
      </c>
      <c r="AB382" s="996">
        <f t="shared" si="64"/>
        <v>133.89754057349043</v>
      </c>
      <c r="AC382" s="996">
        <f t="shared" si="64"/>
        <v>132.80219510483502</v>
      </c>
      <c r="AD382" s="996">
        <f t="shared" si="64"/>
        <v>133.19503427598843</v>
      </c>
      <c r="AE382" s="996">
        <f t="shared" si="64"/>
        <v>135.93054845024614</v>
      </c>
      <c r="AF382" s="996">
        <f t="shared" si="64"/>
        <v>136.87910322693847</v>
      </c>
    </row>
    <row r="383" spans="1:32" s="1010" customFormat="1" outlineLevel="4">
      <c r="A383" s="999"/>
      <c r="B383" s="999"/>
      <c r="C383" s="999"/>
      <c r="D383" s="1015">
        <f>+D381+1</f>
        <v>29</v>
      </c>
      <c r="E383" s="1017" t="s">
        <v>2011</v>
      </c>
      <c r="F383" s="1046">
        <f>+'[10]7'!$P$65+SUM('[10]7'!$P$68:$P$69)</f>
        <v>24229.671780000004</v>
      </c>
      <c r="G383" s="987">
        <v>4.8928390149343181E-3</v>
      </c>
      <c r="H383" s="986">
        <f>IF(H41=0,100,H41/H41*100)</f>
        <v>100</v>
      </c>
      <c r="I383" s="986">
        <f t="shared" ref="I383:AF383" si="65">IF(I41=0,100,I41/H41*H383)</f>
        <v>100</v>
      </c>
      <c r="J383" s="986">
        <f t="shared" si="65"/>
        <v>125</v>
      </c>
      <c r="K383" s="986">
        <f t="shared" si="65"/>
        <v>110</v>
      </c>
      <c r="L383" s="986">
        <f t="shared" si="65"/>
        <v>125.00000000000001</v>
      </c>
      <c r="M383" s="986">
        <f t="shared" si="65"/>
        <v>125.00000000000001</v>
      </c>
      <c r="N383" s="986">
        <f t="shared" si="65"/>
        <v>125.00000000000001</v>
      </c>
      <c r="O383" s="986">
        <f t="shared" si="65"/>
        <v>125.00000000000001</v>
      </c>
      <c r="P383" s="986">
        <f t="shared" si="65"/>
        <v>125.00000000000001</v>
      </c>
      <c r="Q383" s="986">
        <f t="shared" si="65"/>
        <v>125.00000000000001</v>
      </c>
      <c r="R383" s="986">
        <f t="shared" si="65"/>
        <v>125.00000000000001</v>
      </c>
      <c r="S383" s="986">
        <f t="shared" si="65"/>
        <v>125.00000000000001</v>
      </c>
      <c r="T383" s="986">
        <f t="shared" si="65"/>
        <v>125.00000000000001</v>
      </c>
      <c r="U383" s="986">
        <f t="shared" si="65"/>
        <v>125.00000000000001</v>
      </c>
      <c r="V383" s="986">
        <f t="shared" si="65"/>
        <v>125.00000000000001</v>
      </c>
      <c r="W383" s="986">
        <f t="shared" si="65"/>
        <v>125.00000000000001</v>
      </c>
      <c r="X383" s="986">
        <f t="shared" si="65"/>
        <v>125.00000000000001</v>
      </c>
      <c r="Y383" s="986">
        <f t="shared" si="65"/>
        <v>125.00000000000001</v>
      </c>
      <c r="Z383" s="986">
        <f t="shared" si="65"/>
        <v>115.00000000000001</v>
      </c>
      <c r="AA383" s="986">
        <f t="shared" si="65"/>
        <v>125.00000000000001</v>
      </c>
      <c r="AB383" s="986">
        <f t="shared" si="65"/>
        <v>140.00000000000003</v>
      </c>
      <c r="AC383" s="986">
        <f t="shared" si="65"/>
        <v>125.00000000000003</v>
      </c>
      <c r="AD383" s="986">
        <f t="shared" si="65"/>
        <v>125.00000000000003</v>
      </c>
      <c r="AE383" s="986">
        <f t="shared" si="65"/>
        <v>130.00000000000003</v>
      </c>
      <c r="AF383" s="986">
        <f t="shared" si="65"/>
        <v>130.00000000000003</v>
      </c>
    </row>
    <row r="384" spans="1:32" s="1010" customFormat="1" outlineLevel="4">
      <c r="A384" s="999"/>
      <c r="B384" s="999"/>
      <c r="C384" s="999"/>
      <c r="D384" s="1015">
        <f>+D383+1</f>
        <v>30</v>
      </c>
      <c r="E384" s="1017" t="s">
        <v>2010</v>
      </c>
      <c r="F384" s="1046">
        <f>+'[10]7'!$P$66+SUM('[10]7'!$P$71:$P$73)</f>
        <v>9901.5568300000014</v>
      </c>
      <c r="G384" s="987">
        <v>1.9994791512777713E-3</v>
      </c>
      <c r="H384" s="986">
        <f>IF(H42=0,100,H42/H42*100)</f>
        <v>100</v>
      </c>
      <c r="I384" s="986">
        <f t="shared" ref="I384:AF384" si="66">IF(I42=0,100,I42/H42*H384)</f>
        <v>100</v>
      </c>
      <c r="J384" s="986">
        <f t="shared" si="66"/>
        <v>100</v>
      </c>
      <c r="K384" s="986">
        <f t="shared" si="66"/>
        <v>82.679999999999993</v>
      </c>
      <c r="L384" s="986">
        <f t="shared" si="66"/>
        <v>100</v>
      </c>
      <c r="M384" s="986">
        <f t="shared" si="66"/>
        <v>100</v>
      </c>
      <c r="N384" s="986">
        <f t="shared" si="66"/>
        <v>100</v>
      </c>
      <c r="O384" s="986">
        <f t="shared" si="66"/>
        <v>100</v>
      </c>
      <c r="P384" s="986">
        <f t="shared" si="66"/>
        <v>100</v>
      </c>
      <c r="Q384" s="986">
        <f t="shared" si="66"/>
        <v>100</v>
      </c>
      <c r="R384" s="986">
        <f t="shared" si="66"/>
        <v>100</v>
      </c>
      <c r="S384" s="986">
        <f t="shared" si="66"/>
        <v>101.32000000000001</v>
      </c>
      <c r="T384" s="986">
        <f t="shared" si="66"/>
        <v>122.68</v>
      </c>
      <c r="U384" s="986">
        <f t="shared" si="66"/>
        <v>120</v>
      </c>
      <c r="V384" s="986">
        <f t="shared" si="66"/>
        <v>120</v>
      </c>
      <c r="W384" s="986">
        <f t="shared" si="66"/>
        <v>120</v>
      </c>
      <c r="X384" s="986">
        <f t="shared" si="66"/>
        <v>140</v>
      </c>
      <c r="Y384" s="986">
        <f t="shared" si="66"/>
        <v>140</v>
      </c>
      <c r="Z384" s="986">
        <f t="shared" si="66"/>
        <v>120</v>
      </c>
      <c r="AA384" s="986">
        <f t="shared" si="66"/>
        <v>112</v>
      </c>
      <c r="AB384" s="986">
        <f t="shared" si="66"/>
        <v>120</v>
      </c>
      <c r="AC384" s="986">
        <f t="shared" si="66"/>
        <v>144</v>
      </c>
      <c r="AD384" s="986">
        <f t="shared" si="66"/>
        <v>144</v>
      </c>
      <c r="AE384" s="986">
        <f t="shared" si="66"/>
        <v>144</v>
      </c>
      <c r="AF384" s="986">
        <f t="shared" si="66"/>
        <v>146.66666666666666</v>
      </c>
    </row>
    <row r="385" spans="1:32" s="1010" customFormat="1" outlineLevel="4">
      <c r="A385" s="999"/>
      <c r="B385" s="999"/>
      <c r="C385" s="999"/>
      <c r="D385" s="1015">
        <f>+D384+1</f>
        <v>31</v>
      </c>
      <c r="E385" s="1017" t="s">
        <v>2009</v>
      </c>
      <c r="F385" s="1046">
        <f>+'[10]7'!$P$67</f>
        <v>2880.4218999999998</v>
      </c>
      <c r="G385" s="987">
        <v>5.8166040298673969E-4</v>
      </c>
      <c r="H385" s="986">
        <f>IF(H43=0,100,H43/H43*100)</f>
        <v>100</v>
      </c>
      <c r="I385" s="986">
        <f t="shared" ref="I385:AF385" si="67">IF(I43=0,100,I43/H43*H385)</f>
        <v>100</v>
      </c>
      <c r="J385" s="986">
        <f t="shared" si="67"/>
        <v>111.11111111111111</v>
      </c>
      <c r="K385" s="986">
        <f t="shared" si="67"/>
        <v>111.11111111111111</v>
      </c>
      <c r="L385" s="986">
        <f t="shared" si="67"/>
        <v>111.11111111111111</v>
      </c>
      <c r="M385" s="986">
        <f t="shared" si="67"/>
        <v>129.62962962962965</v>
      </c>
      <c r="N385" s="986">
        <f t="shared" si="67"/>
        <v>140.74074074074076</v>
      </c>
      <c r="O385" s="986">
        <f t="shared" si="67"/>
        <v>129.62962962962965</v>
      </c>
      <c r="P385" s="986">
        <f t="shared" si="67"/>
        <v>111.11111111111111</v>
      </c>
      <c r="Q385" s="986">
        <f t="shared" si="67"/>
        <v>111.11111111111111</v>
      </c>
      <c r="R385" s="986">
        <f t="shared" si="67"/>
        <v>111.11111111111111</v>
      </c>
      <c r="S385" s="986">
        <f t="shared" si="67"/>
        <v>122.22222222222223</v>
      </c>
      <c r="T385" s="986">
        <f t="shared" si="67"/>
        <v>127.14814814814815</v>
      </c>
      <c r="U385" s="986">
        <f t="shared" si="67"/>
        <v>148.14814814814815</v>
      </c>
      <c r="V385" s="986">
        <f t="shared" si="67"/>
        <v>166.66666666666669</v>
      </c>
      <c r="W385" s="986">
        <f t="shared" si="67"/>
        <v>166.66666666666669</v>
      </c>
      <c r="X385" s="986">
        <f t="shared" si="67"/>
        <v>185.18518518518522</v>
      </c>
      <c r="Y385" s="986">
        <f t="shared" si="67"/>
        <v>185.18518518518522</v>
      </c>
      <c r="Z385" s="986">
        <f t="shared" si="67"/>
        <v>166.66666666666671</v>
      </c>
      <c r="AA385" s="986">
        <f t="shared" si="67"/>
        <v>155.5555555555556</v>
      </c>
      <c r="AB385" s="986">
        <f t="shared" si="67"/>
        <v>148.14814814814818</v>
      </c>
      <c r="AC385" s="986">
        <f t="shared" si="67"/>
        <v>166.66666666666671</v>
      </c>
      <c r="AD385" s="986">
        <f t="shared" si="67"/>
        <v>166.66666666666671</v>
      </c>
      <c r="AE385" s="986">
        <f t="shared" si="67"/>
        <v>160.49382716049385</v>
      </c>
      <c r="AF385" s="986">
        <f t="shared" si="67"/>
        <v>162.96296296296302</v>
      </c>
    </row>
    <row r="386" spans="1:32" s="1010" customFormat="1" outlineLevel="4">
      <c r="A386" s="999"/>
      <c r="B386" s="999"/>
      <c r="C386" s="999"/>
      <c r="D386" s="1015">
        <v>32</v>
      </c>
      <c r="E386" s="1045" t="s">
        <v>2008</v>
      </c>
      <c r="F386" s="1046">
        <f>+'[10]7'!$P$70</f>
        <v>1513.4155000000001</v>
      </c>
      <c r="G386" s="987">
        <v>3.0561282346047231E-4</v>
      </c>
      <c r="H386" s="986">
        <f>IF(H44=0,100,H44/H44*100)</f>
        <v>100</v>
      </c>
      <c r="I386" s="986">
        <f t="shared" ref="I386:AF386" si="68">IF(I44=0,100,I44/H44*H386)</f>
        <v>100</v>
      </c>
      <c r="J386" s="986">
        <f t="shared" si="68"/>
        <v>100</v>
      </c>
      <c r="K386" s="986">
        <f t="shared" si="68"/>
        <v>100</v>
      </c>
      <c r="L386" s="986">
        <f t="shared" si="68"/>
        <v>100</v>
      </c>
      <c r="M386" s="986">
        <f t="shared" si="68"/>
        <v>100</v>
      </c>
      <c r="N386" s="986">
        <f t="shared" si="68"/>
        <v>100</v>
      </c>
      <c r="O386" s="986">
        <f t="shared" si="68"/>
        <v>100</v>
      </c>
      <c r="P386" s="986">
        <f t="shared" si="68"/>
        <v>100</v>
      </c>
      <c r="Q386" s="986">
        <f t="shared" si="68"/>
        <v>100</v>
      </c>
      <c r="R386" s="986">
        <f t="shared" si="68"/>
        <v>100</v>
      </c>
      <c r="S386" s="986">
        <f t="shared" si="68"/>
        <v>100</v>
      </c>
      <c r="T386" s="986">
        <f t="shared" si="68"/>
        <v>100</v>
      </c>
      <c r="U386" s="986">
        <f t="shared" si="68"/>
        <v>100</v>
      </c>
      <c r="V386" s="986">
        <f t="shared" si="68"/>
        <v>100</v>
      </c>
      <c r="W386" s="986">
        <f t="shared" si="68"/>
        <v>100</v>
      </c>
      <c r="X386" s="986">
        <f t="shared" si="68"/>
        <v>100</v>
      </c>
      <c r="Y386" s="986">
        <f t="shared" si="68"/>
        <v>100</v>
      </c>
      <c r="Z386" s="986">
        <f t="shared" si="68"/>
        <v>96</v>
      </c>
      <c r="AA386" s="986">
        <f t="shared" si="68"/>
        <v>100</v>
      </c>
      <c r="AB386" s="986">
        <f t="shared" si="68"/>
        <v>100</v>
      </c>
      <c r="AC386" s="986">
        <f t="shared" si="68"/>
        <v>120</v>
      </c>
      <c r="AD386" s="986">
        <f t="shared" si="68"/>
        <v>130</v>
      </c>
      <c r="AE386" s="986">
        <f t="shared" si="68"/>
        <v>131.33333333333331</v>
      </c>
      <c r="AF386" s="986">
        <f t="shared" si="68"/>
        <v>133.33333333333331</v>
      </c>
    </row>
    <row r="387" spans="1:32" outlineLevel="3">
      <c r="A387" s="999"/>
      <c r="B387" s="1050">
        <v>6</v>
      </c>
      <c r="C387" s="1956" t="s">
        <v>2007</v>
      </c>
      <c r="D387" s="1956"/>
      <c r="E387" s="1956"/>
      <c r="F387" s="998">
        <f>SUM(F388:F396)</f>
        <v>191753.54645320002</v>
      </c>
      <c r="G387" s="997">
        <v>3.8721912614296139E-2</v>
      </c>
      <c r="H387" s="996">
        <f t="shared" ref="H387:AF387" si="69">+SUMPRODUCT(H388:H396,$G388:$G396)/$G387</f>
        <v>99.999999999999972</v>
      </c>
      <c r="I387" s="996">
        <f t="shared" si="69"/>
        <v>109.26458907155373</v>
      </c>
      <c r="J387" s="996">
        <f t="shared" si="69"/>
        <v>114.04761488228267</v>
      </c>
      <c r="K387" s="996">
        <f t="shared" si="69"/>
        <v>105.31879415233564</v>
      </c>
      <c r="L387" s="996">
        <f t="shared" si="69"/>
        <v>115.23088919819996</v>
      </c>
      <c r="M387" s="996">
        <f t="shared" si="69"/>
        <v>90.384815281905915</v>
      </c>
      <c r="N387" s="996">
        <f t="shared" si="69"/>
        <v>105.05620561450085</v>
      </c>
      <c r="O387" s="996">
        <f t="shared" si="69"/>
        <v>98.242792300067279</v>
      </c>
      <c r="P387" s="996">
        <f t="shared" si="69"/>
        <v>95.460070558794357</v>
      </c>
      <c r="Q387" s="996">
        <f t="shared" si="69"/>
        <v>92.649375618397528</v>
      </c>
      <c r="R387" s="996">
        <f t="shared" si="69"/>
        <v>89.286182255221519</v>
      </c>
      <c r="S387" s="996">
        <f t="shared" si="69"/>
        <v>93.937512206099584</v>
      </c>
      <c r="T387" s="996">
        <f t="shared" si="69"/>
        <v>100.76250893587988</v>
      </c>
      <c r="U387" s="996">
        <f t="shared" si="69"/>
        <v>118.05861089371786</v>
      </c>
      <c r="V387" s="996">
        <f t="shared" si="69"/>
        <v>125.3268378107233</v>
      </c>
      <c r="W387" s="996">
        <f t="shared" si="69"/>
        <v>126.2190359106168</v>
      </c>
      <c r="X387" s="996">
        <f t="shared" si="69"/>
        <v>109.71718104870459</v>
      </c>
      <c r="Y387" s="996">
        <f t="shared" si="69"/>
        <v>102.91588714959418</v>
      </c>
      <c r="Z387" s="996">
        <f t="shared" si="69"/>
        <v>106.80614301580169</v>
      </c>
      <c r="AA387" s="996">
        <f t="shared" si="69"/>
        <v>106.57942582219817</v>
      </c>
      <c r="AB387" s="996">
        <f t="shared" si="69"/>
        <v>106.89242687328438</v>
      </c>
      <c r="AC387" s="996">
        <f t="shared" si="69"/>
        <v>104.07555605465454</v>
      </c>
      <c r="AD387" s="996">
        <f t="shared" si="69"/>
        <v>103.52285048044047</v>
      </c>
      <c r="AE387" s="996">
        <f t="shared" si="69"/>
        <v>106.74313609577736</v>
      </c>
      <c r="AF387" s="996">
        <f t="shared" si="69"/>
        <v>113.32651001843236</v>
      </c>
    </row>
    <row r="388" spans="1:32" s="1010" customFormat="1" outlineLevel="4">
      <c r="A388" s="999"/>
      <c r="B388" s="999"/>
      <c r="C388" s="999"/>
      <c r="D388" s="1015">
        <v>33</v>
      </c>
      <c r="E388" s="1017" t="s">
        <v>2006</v>
      </c>
      <c r="F388" s="1046">
        <f>+'[10]7'!$P$74</f>
        <v>103613.178</v>
      </c>
      <c r="G388" s="987">
        <v>2.0923213668878435E-2</v>
      </c>
      <c r="H388" s="986">
        <f t="shared" ref="H388:H396" si="70">IF(H46=0,100,H46/H46*100)</f>
        <v>100</v>
      </c>
      <c r="I388" s="986">
        <f t="shared" ref="I388:AF388" si="71">IF(I46=0,100,I46/H46*H388)</f>
        <v>100</v>
      </c>
      <c r="J388" s="986">
        <f t="shared" si="71"/>
        <v>112.29868228404098</v>
      </c>
      <c r="K388" s="986">
        <f t="shared" si="71"/>
        <v>104.97803806734991</v>
      </c>
      <c r="L388" s="986">
        <f t="shared" si="71"/>
        <v>119.61932650073204</v>
      </c>
      <c r="M388" s="986">
        <f t="shared" si="71"/>
        <v>92.679355783308907</v>
      </c>
      <c r="N388" s="986">
        <f t="shared" si="71"/>
        <v>112.29868228404096</v>
      </c>
      <c r="O388" s="986">
        <f t="shared" si="71"/>
        <v>104.9780380673499</v>
      </c>
      <c r="P388" s="986">
        <f t="shared" si="71"/>
        <v>104.9780380673499</v>
      </c>
      <c r="Q388" s="986">
        <f t="shared" si="71"/>
        <v>101.46412884333819</v>
      </c>
      <c r="R388" s="986">
        <f t="shared" si="71"/>
        <v>95.168374816983871</v>
      </c>
      <c r="S388" s="986">
        <f t="shared" si="71"/>
        <v>95.168374816983871</v>
      </c>
      <c r="T388" s="986">
        <f t="shared" si="71"/>
        <v>104.9780380673499</v>
      </c>
      <c r="U388" s="986">
        <f t="shared" si="71"/>
        <v>117.13030746705708</v>
      </c>
      <c r="V388" s="986">
        <f t="shared" si="71"/>
        <v>117.13030746705708</v>
      </c>
      <c r="W388" s="986">
        <f t="shared" si="71"/>
        <v>117.13030746705708</v>
      </c>
      <c r="X388" s="986">
        <f t="shared" si="71"/>
        <v>102.48901903367495</v>
      </c>
      <c r="Y388" s="986">
        <f t="shared" si="71"/>
        <v>102.48901903367495</v>
      </c>
      <c r="Z388" s="986">
        <f t="shared" si="71"/>
        <v>102.48901903367495</v>
      </c>
      <c r="AA388" s="986">
        <f t="shared" si="71"/>
        <v>102.48901903367495</v>
      </c>
      <c r="AB388" s="986">
        <f t="shared" si="71"/>
        <v>102.48901903367495</v>
      </c>
      <c r="AC388" s="986">
        <f t="shared" si="71"/>
        <v>102.48901903367495</v>
      </c>
      <c r="AD388" s="986">
        <f t="shared" si="71"/>
        <v>102.48901903367495</v>
      </c>
      <c r="AE388" s="986">
        <f t="shared" si="71"/>
        <v>100.04880429477794</v>
      </c>
      <c r="AF388" s="986">
        <f t="shared" si="71"/>
        <v>107.36944851146902</v>
      </c>
    </row>
    <row r="389" spans="1:32" s="1010" customFormat="1" outlineLevel="4">
      <c r="A389" s="999"/>
      <c r="B389" s="999"/>
      <c r="C389" s="999"/>
      <c r="D389" s="1015">
        <f t="shared" ref="D389:D394" si="72">+D388+1</f>
        <v>34</v>
      </c>
      <c r="E389" s="1017" t="s">
        <v>2005</v>
      </c>
      <c r="F389" s="1046">
        <f>+'[10]7'!$P$76-500</f>
        <v>10598.325400000002</v>
      </c>
      <c r="G389" s="987">
        <v>2.1401816946151533E-3</v>
      </c>
      <c r="H389" s="986">
        <f t="shared" si="70"/>
        <v>100</v>
      </c>
      <c r="I389" s="986">
        <f t="shared" ref="I389:AF389" si="73">IF(I47=0,100,I47/H47*H389)</f>
        <v>123.30000000000001</v>
      </c>
      <c r="J389" s="986">
        <f t="shared" si="73"/>
        <v>120.00000000000001</v>
      </c>
      <c r="K389" s="986">
        <f t="shared" si="73"/>
        <v>110.00000000000001</v>
      </c>
      <c r="L389" s="986">
        <f t="shared" si="73"/>
        <v>96.700000000000017</v>
      </c>
      <c r="M389" s="986">
        <f t="shared" si="73"/>
        <v>76.7</v>
      </c>
      <c r="N389" s="986">
        <f t="shared" si="73"/>
        <v>76.7</v>
      </c>
      <c r="O389" s="986">
        <f t="shared" si="73"/>
        <v>71.7</v>
      </c>
      <c r="P389" s="986">
        <f t="shared" si="73"/>
        <v>73.300000000000011</v>
      </c>
      <c r="Q389" s="986">
        <f t="shared" si="73"/>
        <v>69.300000000000011</v>
      </c>
      <c r="R389" s="986">
        <f t="shared" si="73"/>
        <v>70.000000000000014</v>
      </c>
      <c r="S389" s="986">
        <f t="shared" si="73"/>
        <v>81.7</v>
      </c>
      <c r="T389" s="986">
        <f t="shared" si="73"/>
        <v>106.7</v>
      </c>
      <c r="U389" s="986">
        <f t="shared" si="73"/>
        <v>120.00000000000001</v>
      </c>
      <c r="V389" s="986">
        <f t="shared" si="73"/>
        <v>120.00000000000001</v>
      </c>
      <c r="W389" s="986">
        <f t="shared" si="73"/>
        <v>150.00000000000003</v>
      </c>
      <c r="X389" s="986">
        <f t="shared" si="73"/>
        <v>120.00000000000003</v>
      </c>
      <c r="Y389" s="986">
        <f t="shared" si="73"/>
        <v>120.00000000000003</v>
      </c>
      <c r="Z389" s="986">
        <f t="shared" si="73"/>
        <v>150.00000000000003</v>
      </c>
      <c r="AA389" s="986">
        <f t="shared" si="73"/>
        <v>120.00000000000003</v>
      </c>
      <c r="AB389" s="986">
        <f t="shared" si="73"/>
        <v>140.00000000000003</v>
      </c>
      <c r="AC389" s="986">
        <f t="shared" si="73"/>
        <v>150.00000000000003</v>
      </c>
      <c r="AD389" s="986">
        <f t="shared" si="73"/>
        <v>140.00000000000003</v>
      </c>
      <c r="AE389" s="986">
        <f t="shared" si="73"/>
        <v>140.00000000000003</v>
      </c>
      <c r="AF389" s="986">
        <f t="shared" si="73"/>
        <v>146.66666666666671</v>
      </c>
    </row>
    <row r="390" spans="1:32" s="1010" customFormat="1" outlineLevel="4">
      <c r="A390" s="999"/>
      <c r="B390" s="999"/>
      <c r="C390" s="999"/>
      <c r="D390" s="1015">
        <f t="shared" si="72"/>
        <v>35</v>
      </c>
      <c r="E390" s="1017" t="s">
        <v>2004</v>
      </c>
      <c r="F390" s="1046">
        <f>+'[10]7'!$P$77+500</f>
        <v>1195.3580120000001</v>
      </c>
      <c r="G390" s="987">
        <v>2.4138561888220199E-4</v>
      </c>
      <c r="H390" s="986">
        <f t="shared" si="70"/>
        <v>100</v>
      </c>
      <c r="I390" s="986">
        <f t="shared" ref="I390:AF390" si="74">IF(I48=0,100,I48/H48*H390)</f>
        <v>102.82776349614396</v>
      </c>
      <c r="J390" s="986">
        <f t="shared" si="74"/>
        <v>102.82776349614396</v>
      </c>
      <c r="K390" s="986">
        <f t="shared" si="74"/>
        <v>88.517566409597265</v>
      </c>
      <c r="L390" s="986">
        <f t="shared" si="74"/>
        <v>85.689802913453306</v>
      </c>
      <c r="M390" s="986">
        <f t="shared" si="74"/>
        <v>65.72407883461868</v>
      </c>
      <c r="N390" s="986">
        <f t="shared" si="74"/>
        <v>79.948586118251939</v>
      </c>
      <c r="O390" s="986">
        <f t="shared" si="74"/>
        <v>65.724078834618695</v>
      </c>
      <c r="P390" s="986">
        <f t="shared" si="74"/>
        <v>65.724078834618695</v>
      </c>
      <c r="Q390" s="986">
        <f t="shared" si="74"/>
        <v>59.38303341902315</v>
      </c>
      <c r="R390" s="986">
        <f t="shared" si="74"/>
        <v>59.38303341902315</v>
      </c>
      <c r="S390" s="986">
        <f t="shared" si="74"/>
        <v>68.551842330762653</v>
      </c>
      <c r="T390" s="986">
        <f t="shared" si="74"/>
        <v>91.431019708654688</v>
      </c>
      <c r="U390" s="986">
        <f t="shared" si="74"/>
        <v>128.53470437017998</v>
      </c>
      <c r="V390" s="986">
        <f t="shared" si="74"/>
        <v>137.10368466152531</v>
      </c>
      <c r="W390" s="986">
        <f t="shared" si="74"/>
        <v>171.37960582690664</v>
      </c>
      <c r="X390" s="986">
        <f t="shared" si="74"/>
        <v>154.24164524421599</v>
      </c>
      <c r="Y390" s="986">
        <f t="shared" si="74"/>
        <v>145.67266495287066</v>
      </c>
      <c r="Z390" s="986">
        <f t="shared" si="74"/>
        <v>154.24164524421599</v>
      </c>
      <c r="AA390" s="986">
        <f t="shared" si="74"/>
        <v>154.24164524421599</v>
      </c>
      <c r="AB390" s="986">
        <f t="shared" si="74"/>
        <v>165.63838903170529</v>
      </c>
      <c r="AC390" s="986">
        <f t="shared" si="74"/>
        <v>154.24164524421599</v>
      </c>
      <c r="AD390" s="986">
        <f t="shared" si="74"/>
        <v>154.24164524421599</v>
      </c>
      <c r="AE390" s="986">
        <f t="shared" si="74"/>
        <v>157.09797200799775</v>
      </c>
      <c r="AF390" s="986">
        <f t="shared" si="74"/>
        <v>159.95429877177955</v>
      </c>
    </row>
    <row r="391" spans="1:32" s="1010" customFormat="1" outlineLevel="4">
      <c r="A391" s="999"/>
      <c r="B391" s="999"/>
      <c r="C391" s="999"/>
      <c r="D391" s="1015">
        <f t="shared" si="72"/>
        <v>36</v>
      </c>
      <c r="E391" s="1017" t="s">
        <v>2003</v>
      </c>
      <c r="F391" s="1046">
        <f>+'[10]7'!$P$75+SUM('[10]7'!$P$86:$P$87)</f>
        <v>25220.696230199999</v>
      </c>
      <c r="G391" s="987">
        <v>5.0929623652924867E-3</v>
      </c>
      <c r="H391" s="986">
        <f t="shared" si="70"/>
        <v>100</v>
      </c>
      <c r="I391" s="986">
        <f t="shared" ref="I391:AF391" si="75">IF(I49=0,100,I49/H49*H391)</f>
        <v>123.30000000000001</v>
      </c>
      <c r="J391" s="986">
        <f t="shared" si="75"/>
        <v>120.00000000000001</v>
      </c>
      <c r="K391" s="986">
        <f t="shared" si="75"/>
        <v>93.300000000000011</v>
      </c>
      <c r="L391" s="986">
        <f t="shared" si="75"/>
        <v>93.300000000000011</v>
      </c>
      <c r="M391" s="986">
        <f t="shared" si="75"/>
        <v>76.700000000000017</v>
      </c>
      <c r="N391" s="986">
        <f t="shared" si="75"/>
        <v>80.000000000000014</v>
      </c>
      <c r="O391" s="986">
        <f t="shared" si="75"/>
        <v>76.700000000000017</v>
      </c>
      <c r="P391" s="986">
        <f t="shared" si="75"/>
        <v>76.700000000000017</v>
      </c>
      <c r="Q391" s="986">
        <f t="shared" si="75"/>
        <v>68.300000000000011</v>
      </c>
      <c r="R391" s="986">
        <f t="shared" si="75"/>
        <v>68.300000000000011</v>
      </c>
      <c r="S391" s="986">
        <f t="shared" si="75"/>
        <v>80.000000000000014</v>
      </c>
      <c r="T391" s="986">
        <f t="shared" si="75"/>
        <v>80.000000000000014</v>
      </c>
      <c r="U391" s="986">
        <f t="shared" si="75"/>
        <v>100.00000000000001</v>
      </c>
      <c r="V391" s="986">
        <f t="shared" si="75"/>
        <v>120.00000000000001</v>
      </c>
      <c r="W391" s="986">
        <f t="shared" si="75"/>
        <v>120.00000000000001</v>
      </c>
      <c r="X391" s="986">
        <f t="shared" si="75"/>
        <v>100.00000000000001</v>
      </c>
      <c r="Y391" s="986">
        <f t="shared" si="75"/>
        <v>80.000000000000014</v>
      </c>
      <c r="Z391" s="986">
        <f t="shared" si="75"/>
        <v>90.000000000000014</v>
      </c>
      <c r="AA391" s="986">
        <f t="shared" si="75"/>
        <v>100.00000000000001</v>
      </c>
      <c r="AB391" s="986">
        <f t="shared" si="75"/>
        <v>100.00000000000001</v>
      </c>
      <c r="AC391" s="986">
        <f t="shared" si="75"/>
        <v>80.000000000000014</v>
      </c>
      <c r="AD391" s="986">
        <f t="shared" si="75"/>
        <v>80.000000000000014</v>
      </c>
      <c r="AE391" s="986">
        <f t="shared" si="75"/>
        <v>90.000000000000014</v>
      </c>
      <c r="AF391" s="986">
        <f t="shared" si="75"/>
        <v>100.00000000000001</v>
      </c>
    </row>
    <row r="392" spans="1:32" s="1010" customFormat="1" outlineLevel="4">
      <c r="A392" s="999"/>
      <c r="B392" s="999"/>
      <c r="C392" s="999"/>
      <c r="D392" s="1015">
        <f t="shared" si="72"/>
        <v>37</v>
      </c>
      <c r="E392" s="1017" t="s">
        <v>2002</v>
      </c>
      <c r="F392" s="1046">
        <f>+'[10]7'!$P$78+'[10]7'!$P$85</f>
        <v>31580.612070999996</v>
      </c>
      <c r="G392" s="987">
        <v>6.3772572843532934E-3</v>
      </c>
      <c r="H392" s="986">
        <f t="shared" si="70"/>
        <v>100</v>
      </c>
      <c r="I392" s="986">
        <f t="shared" ref="I392:AF392" si="76">IF(I50=0,100,I50/H50*H392)</f>
        <v>125</v>
      </c>
      <c r="J392" s="986">
        <f t="shared" si="76"/>
        <v>120.875</v>
      </c>
      <c r="K392" s="986">
        <f t="shared" si="76"/>
        <v>112.5</v>
      </c>
      <c r="L392" s="986">
        <f t="shared" si="76"/>
        <v>120.87500000000001</v>
      </c>
      <c r="M392" s="986">
        <f t="shared" si="76"/>
        <v>79.125000000000014</v>
      </c>
      <c r="N392" s="986">
        <f t="shared" si="76"/>
        <v>104.12500000000001</v>
      </c>
      <c r="O392" s="986">
        <f t="shared" si="76"/>
        <v>91.625000000000014</v>
      </c>
      <c r="P392" s="986">
        <f t="shared" si="76"/>
        <v>75.000000000000014</v>
      </c>
      <c r="Q392" s="986">
        <f t="shared" si="76"/>
        <v>75.000000000000014</v>
      </c>
      <c r="R392" s="986">
        <f t="shared" si="76"/>
        <v>75.000000000000014</v>
      </c>
      <c r="S392" s="986">
        <f t="shared" si="76"/>
        <v>89.625000000000028</v>
      </c>
      <c r="T392" s="986">
        <f t="shared" si="76"/>
        <v>89.625000000000028</v>
      </c>
      <c r="U392" s="986">
        <f t="shared" si="76"/>
        <v>125.00000000000004</v>
      </c>
      <c r="V392" s="986">
        <f t="shared" si="76"/>
        <v>150.00000000000006</v>
      </c>
      <c r="W392" s="986">
        <f t="shared" si="76"/>
        <v>150.00000000000006</v>
      </c>
      <c r="X392" s="986">
        <f t="shared" si="76"/>
        <v>125.00000000000006</v>
      </c>
      <c r="Y392" s="986">
        <f t="shared" si="76"/>
        <v>100.00000000000006</v>
      </c>
      <c r="Z392" s="986">
        <f t="shared" si="76"/>
        <v>100.00000000000006</v>
      </c>
      <c r="AA392" s="986">
        <f t="shared" si="76"/>
        <v>100.00000000000006</v>
      </c>
      <c r="AB392" s="986">
        <f t="shared" si="76"/>
        <v>100.00000000000006</v>
      </c>
      <c r="AC392" s="986">
        <f t="shared" si="76"/>
        <v>100.00000000000006</v>
      </c>
      <c r="AD392" s="986">
        <f t="shared" si="76"/>
        <v>100.00000000000006</v>
      </c>
      <c r="AE392" s="986">
        <f t="shared" si="76"/>
        <v>112.50000000000006</v>
      </c>
      <c r="AF392" s="986">
        <f t="shared" si="76"/>
        <v>116.66666666666671</v>
      </c>
    </row>
    <row r="393" spans="1:32" s="1010" customFormat="1" outlineLevel="4">
      <c r="A393" s="999"/>
      <c r="B393" s="999"/>
      <c r="C393" s="999"/>
      <c r="D393" s="1015">
        <f t="shared" si="72"/>
        <v>38</v>
      </c>
      <c r="E393" s="1017" t="s">
        <v>2001</v>
      </c>
      <c r="F393" s="1046">
        <f>+'[10]7'!$P$81+'[10]7'!$P$83</f>
        <v>4792.7173999999995</v>
      </c>
      <c r="G393" s="987">
        <v>9.6782139251390886E-4</v>
      </c>
      <c r="H393" s="986">
        <f t="shared" si="70"/>
        <v>100</v>
      </c>
      <c r="I393" s="986">
        <f t="shared" ref="I393:AF393" si="77">IF(I51=0,100,I51/H51*H393)</f>
        <v>101.88571428571429</v>
      </c>
      <c r="J393" s="986">
        <f t="shared" si="77"/>
        <v>100</v>
      </c>
      <c r="K393" s="986">
        <f t="shared" si="77"/>
        <v>100</v>
      </c>
      <c r="L393" s="986">
        <f t="shared" si="77"/>
        <v>100</v>
      </c>
      <c r="M393" s="986">
        <f t="shared" si="77"/>
        <v>100</v>
      </c>
      <c r="N393" s="986">
        <f t="shared" si="77"/>
        <v>100</v>
      </c>
      <c r="O393" s="986">
        <f t="shared" si="77"/>
        <v>100</v>
      </c>
      <c r="P393" s="986">
        <f t="shared" si="77"/>
        <v>96.171428571428578</v>
      </c>
      <c r="Q393" s="986">
        <f t="shared" si="77"/>
        <v>92.4</v>
      </c>
      <c r="R393" s="986">
        <f t="shared" si="77"/>
        <v>92.4</v>
      </c>
      <c r="S393" s="986">
        <f t="shared" si="77"/>
        <v>92.4</v>
      </c>
      <c r="T393" s="986">
        <f t="shared" si="77"/>
        <v>92.4</v>
      </c>
      <c r="U393" s="986">
        <f t="shared" si="77"/>
        <v>91.428571428571445</v>
      </c>
      <c r="V393" s="986">
        <f t="shared" si="77"/>
        <v>102.85714285714288</v>
      </c>
      <c r="W393" s="986">
        <f t="shared" si="77"/>
        <v>102.85714285714288</v>
      </c>
      <c r="X393" s="986">
        <f t="shared" si="77"/>
        <v>97.142857142857153</v>
      </c>
      <c r="Y393" s="986">
        <f t="shared" si="77"/>
        <v>97.142857142857153</v>
      </c>
      <c r="Z393" s="986">
        <f t="shared" si="77"/>
        <v>97.142857142857153</v>
      </c>
      <c r="AA393" s="986">
        <f t="shared" si="77"/>
        <v>97.142857142857153</v>
      </c>
      <c r="AB393" s="986">
        <f t="shared" si="77"/>
        <v>97.142857142857153</v>
      </c>
      <c r="AC393" s="986">
        <f t="shared" si="77"/>
        <v>97.142857142857153</v>
      </c>
      <c r="AD393" s="986">
        <f t="shared" si="77"/>
        <v>97.142857142857153</v>
      </c>
      <c r="AE393" s="986">
        <f t="shared" si="77"/>
        <v>95.238095238095255</v>
      </c>
      <c r="AF393" s="986">
        <f t="shared" si="77"/>
        <v>96.190476190476204</v>
      </c>
    </row>
    <row r="394" spans="1:32" s="1010" customFormat="1" outlineLevel="4">
      <c r="A394" s="999"/>
      <c r="B394" s="999"/>
      <c r="C394" s="999"/>
      <c r="D394" s="1015">
        <f t="shared" si="72"/>
        <v>39</v>
      </c>
      <c r="E394" s="1017" t="s">
        <v>2000</v>
      </c>
      <c r="F394" s="1046">
        <f>+'[10]7'!$P$84</f>
        <v>5121.8639700000003</v>
      </c>
      <c r="G394" s="987">
        <v>1.0342878801308456E-3</v>
      </c>
      <c r="H394" s="986">
        <f t="shared" si="70"/>
        <v>100</v>
      </c>
      <c r="I394" s="986">
        <f t="shared" ref="I394:AF394" si="78">IF(I52=0,100,I52/H52*H394)</f>
        <v>102.91304347826087</v>
      </c>
      <c r="J394" s="986">
        <f t="shared" si="78"/>
        <v>102.17391304347827</v>
      </c>
      <c r="K394" s="986">
        <f t="shared" si="78"/>
        <v>102.17391304347827</v>
      </c>
      <c r="L394" s="986">
        <f t="shared" si="78"/>
        <v>103.60869565217392</v>
      </c>
      <c r="M394" s="986">
        <f t="shared" si="78"/>
        <v>103.60869565217392</v>
      </c>
      <c r="N394" s="986">
        <f t="shared" si="78"/>
        <v>103.60869565217392</v>
      </c>
      <c r="O394" s="986">
        <f t="shared" si="78"/>
        <v>103.60869565217392</v>
      </c>
      <c r="P394" s="986">
        <f t="shared" si="78"/>
        <v>108.69565217391306</v>
      </c>
      <c r="Q394" s="986">
        <f t="shared" si="78"/>
        <v>108.69565217391306</v>
      </c>
      <c r="R394" s="986">
        <f t="shared" si="78"/>
        <v>108.69565217391306</v>
      </c>
      <c r="S394" s="986">
        <f t="shared" si="78"/>
        <v>108.69565217391306</v>
      </c>
      <c r="T394" s="986">
        <f t="shared" si="78"/>
        <v>108.69565217391306</v>
      </c>
      <c r="U394" s="986">
        <f t="shared" si="78"/>
        <v>108.69565217391306</v>
      </c>
      <c r="V394" s="986">
        <f t="shared" si="78"/>
        <v>113.04347826086959</v>
      </c>
      <c r="W394" s="986">
        <f t="shared" si="78"/>
        <v>108.69565217391307</v>
      </c>
      <c r="X394" s="986">
        <f t="shared" si="78"/>
        <v>108.69565217391307</v>
      </c>
      <c r="Y394" s="986">
        <f t="shared" si="78"/>
        <v>108.69565217391307</v>
      </c>
      <c r="Z394" s="986">
        <f t="shared" si="78"/>
        <v>108.69565217391307</v>
      </c>
      <c r="AA394" s="986">
        <f t="shared" si="78"/>
        <v>113.04347826086961</v>
      </c>
      <c r="AB394" s="986">
        <f t="shared" si="78"/>
        <v>113.04347826086961</v>
      </c>
      <c r="AC394" s="986">
        <f t="shared" si="78"/>
        <v>113.04347826086961</v>
      </c>
      <c r="AD394" s="986">
        <f t="shared" si="78"/>
        <v>113.04347826086961</v>
      </c>
      <c r="AE394" s="986">
        <f t="shared" si="78"/>
        <v>113.04347826086961</v>
      </c>
      <c r="AF394" s="986">
        <f t="shared" si="78"/>
        <v>113.04347826086961</v>
      </c>
    </row>
    <row r="395" spans="1:32" s="1010" customFormat="1" outlineLevel="4">
      <c r="A395" s="999"/>
      <c r="B395" s="999"/>
      <c r="C395" s="999"/>
      <c r="D395" s="1015">
        <v>40</v>
      </c>
      <c r="E395" s="1045" t="s">
        <v>1999</v>
      </c>
      <c r="F395" s="1046">
        <f>+'[10]7'!$P$80</f>
        <v>1915.2037600000001</v>
      </c>
      <c r="G395" s="987">
        <v>3.867482714401384E-4</v>
      </c>
      <c r="H395" s="986">
        <f t="shared" si="70"/>
        <v>100</v>
      </c>
      <c r="I395" s="986">
        <f t="shared" ref="I395:AF395" si="79">IF(I53=0,100,I53/H53*H395)</f>
        <v>106.52315720808872</v>
      </c>
      <c r="J395" s="986">
        <f t="shared" si="79"/>
        <v>115.2641878669276</v>
      </c>
      <c r="K395" s="986">
        <f t="shared" si="79"/>
        <v>115.2641878669276</v>
      </c>
      <c r="L395" s="986">
        <f t="shared" si="79"/>
        <v>152.18525766470972</v>
      </c>
      <c r="M395" s="986">
        <f t="shared" si="79"/>
        <v>152.18525766470972</v>
      </c>
      <c r="N395" s="986">
        <f t="shared" si="79"/>
        <v>152.18525766470972</v>
      </c>
      <c r="O395" s="986">
        <f t="shared" si="79"/>
        <v>152.18525766470972</v>
      </c>
      <c r="P395" s="986">
        <f t="shared" si="79"/>
        <v>134.83365949119374</v>
      </c>
      <c r="Q395" s="986">
        <f t="shared" si="79"/>
        <v>132.6157860404436</v>
      </c>
      <c r="R395" s="986">
        <f t="shared" si="79"/>
        <v>132.6157860404436</v>
      </c>
      <c r="S395" s="986">
        <f t="shared" si="79"/>
        <v>132.6157860404436</v>
      </c>
      <c r="T395" s="986">
        <f t="shared" si="79"/>
        <v>132.6157860404436</v>
      </c>
      <c r="U395" s="986">
        <f t="shared" si="79"/>
        <v>150.03261578604048</v>
      </c>
      <c r="V395" s="986">
        <f t="shared" si="79"/>
        <v>156.5557729941292</v>
      </c>
      <c r="W395" s="986">
        <f t="shared" si="79"/>
        <v>156.5557729941292</v>
      </c>
      <c r="X395" s="986">
        <f t="shared" si="79"/>
        <v>163.07893020221792</v>
      </c>
      <c r="Y395" s="986">
        <f t="shared" si="79"/>
        <v>163.07893020221792</v>
      </c>
      <c r="Z395" s="986">
        <f t="shared" si="79"/>
        <v>163.07893020221792</v>
      </c>
      <c r="AA395" s="986">
        <f t="shared" si="79"/>
        <v>163.07893020221792</v>
      </c>
      <c r="AB395" s="986">
        <f t="shared" si="79"/>
        <v>163.07893020221792</v>
      </c>
      <c r="AC395" s="986">
        <f t="shared" si="79"/>
        <v>182.64840182648408</v>
      </c>
      <c r="AD395" s="986">
        <f t="shared" si="79"/>
        <v>182.64840182648408</v>
      </c>
      <c r="AE395" s="986">
        <f t="shared" si="79"/>
        <v>186.9971732985432</v>
      </c>
      <c r="AF395" s="986">
        <f t="shared" si="79"/>
        <v>191.34594477060236</v>
      </c>
    </row>
    <row r="396" spans="1:32" s="1010" customFormat="1" outlineLevel="4">
      <c r="A396" s="999"/>
      <c r="B396" s="999"/>
      <c r="C396" s="999"/>
      <c r="D396" s="1015">
        <v>41</v>
      </c>
      <c r="E396" s="1045" t="s">
        <v>1998</v>
      </c>
      <c r="F396" s="1046">
        <f>+'[10]7'!$P$79+'[10]7'!$P$108</f>
        <v>7715.5916099999995</v>
      </c>
      <c r="G396" s="987">
        <v>1.558054438189665E-3</v>
      </c>
      <c r="H396" s="986">
        <f t="shared" si="70"/>
        <v>100</v>
      </c>
      <c r="I396" s="986">
        <f t="shared" ref="I396:AF396" si="80">IF(I54=0,100,I54/H54*H396)</f>
        <v>114.59227467811159</v>
      </c>
      <c r="J396" s="986">
        <f t="shared" si="80"/>
        <v>100.00000000000001</v>
      </c>
      <c r="K396" s="986">
        <f t="shared" si="80"/>
        <v>118.88412017167384</v>
      </c>
      <c r="L396" s="986">
        <f t="shared" si="80"/>
        <v>142.91845493562235</v>
      </c>
      <c r="M396" s="986">
        <f t="shared" si="80"/>
        <v>142.91845493562235</v>
      </c>
      <c r="N396" s="986">
        <f t="shared" si="80"/>
        <v>128.75536480686699</v>
      </c>
      <c r="O396" s="986">
        <f t="shared" si="80"/>
        <v>128.75536480686699</v>
      </c>
      <c r="P396" s="986">
        <f t="shared" si="80"/>
        <v>128.75536480686699</v>
      </c>
      <c r="Q396" s="986">
        <f t="shared" si="80"/>
        <v>142.91845493562238</v>
      </c>
      <c r="R396" s="986">
        <f t="shared" si="80"/>
        <v>142.91845493562238</v>
      </c>
      <c r="S396" s="986">
        <f t="shared" si="80"/>
        <v>142.91845493562238</v>
      </c>
      <c r="T396" s="986">
        <f t="shared" si="80"/>
        <v>142.91845493562238</v>
      </c>
      <c r="U396" s="986">
        <f t="shared" si="80"/>
        <v>171.67381974248934</v>
      </c>
      <c r="V396" s="986">
        <f t="shared" si="80"/>
        <v>171.67381974248934</v>
      </c>
      <c r="W396" s="986">
        <f t="shared" si="80"/>
        <v>150.21459227467818</v>
      </c>
      <c r="X396" s="986">
        <f t="shared" si="80"/>
        <v>150.21459227467818</v>
      </c>
      <c r="Y396" s="986">
        <f t="shared" si="80"/>
        <v>150.21459227467818</v>
      </c>
      <c r="Z396" s="986">
        <f t="shared" si="80"/>
        <v>171.67381974248934</v>
      </c>
      <c r="AA396" s="986">
        <f t="shared" si="80"/>
        <v>171.67381974248934</v>
      </c>
      <c r="AB396" s="986">
        <f t="shared" si="80"/>
        <v>150.21459227467818</v>
      </c>
      <c r="AC396" s="986">
        <f t="shared" si="80"/>
        <v>128.75536480686699</v>
      </c>
      <c r="AD396" s="986">
        <f t="shared" si="80"/>
        <v>128.75536480686699</v>
      </c>
      <c r="AE396" s="986">
        <f t="shared" si="80"/>
        <v>157.36766809728189</v>
      </c>
      <c r="AF396" s="986">
        <f t="shared" si="80"/>
        <v>161.65951359084414</v>
      </c>
    </row>
    <row r="397" spans="1:32" outlineLevel="3">
      <c r="A397" s="999"/>
      <c r="B397" s="1043">
        <v>7</v>
      </c>
      <c r="C397" s="1049" t="s">
        <v>1997</v>
      </c>
      <c r="D397" s="1049"/>
      <c r="E397" s="1049"/>
      <c r="F397" s="998">
        <f>SUM(F398:F403)</f>
        <v>111807.706901</v>
      </c>
      <c r="G397" s="997">
        <v>2.2577982709081242E-2</v>
      </c>
      <c r="H397" s="996">
        <f t="shared" ref="H397:AF397" si="81">+SUMPRODUCT(H398:H403,$G398:$G403)/$G397</f>
        <v>99.999999999999986</v>
      </c>
      <c r="I397" s="996">
        <f t="shared" si="81"/>
        <v>99.129758382883779</v>
      </c>
      <c r="J397" s="996">
        <f t="shared" si="81"/>
        <v>97.466654987976469</v>
      </c>
      <c r="K397" s="996">
        <f t="shared" si="81"/>
        <v>96.765745609376509</v>
      </c>
      <c r="L397" s="996">
        <f t="shared" si="81"/>
        <v>98.512281877363435</v>
      </c>
      <c r="M397" s="996">
        <f t="shared" si="81"/>
        <v>96.298378832818045</v>
      </c>
      <c r="N397" s="996">
        <f t="shared" si="81"/>
        <v>98.512281877363435</v>
      </c>
      <c r="O397" s="996">
        <f t="shared" si="81"/>
        <v>98.543285296453988</v>
      </c>
      <c r="P397" s="996">
        <f t="shared" si="81"/>
        <v>98.543285296453988</v>
      </c>
      <c r="Q397" s="996">
        <f t="shared" si="81"/>
        <v>99.091692360542055</v>
      </c>
      <c r="R397" s="996">
        <f t="shared" si="81"/>
        <v>99.091692360542055</v>
      </c>
      <c r="S397" s="996">
        <f t="shared" si="81"/>
        <v>99.091692360542055</v>
      </c>
      <c r="T397" s="996">
        <f t="shared" si="81"/>
        <v>99.091692360542055</v>
      </c>
      <c r="U397" s="996">
        <f t="shared" si="81"/>
        <v>103.92146166847633</v>
      </c>
      <c r="V397" s="996">
        <f t="shared" si="81"/>
        <v>104.01264819521323</v>
      </c>
      <c r="W397" s="996">
        <f t="shared" si="81"/>
        <v>103.7390886150025</v>
      </c>
      <c r="X397" s="996">
        <f t="shared" si="81"/>
        <v>104.58140968392203</v>
      </c>
      <c r="Y397" s="996">
        <f t="shared" si="81"/>
        <v>104.58140968392203</v>
      </c>
      <c r="Z397" s="996">
        <f t="shared" si="81"/>
        <v>102.1779194764737</v>
      </c>
      <c r="AA397" s="996">
        <f t="shared" si="81"/>
        <v>104.38460841158999</v>
      </c>
      <c r="AB397" s="996">
        <f t="shared" si="81"/>
        <v>102.37822667129684</v>
      </c>
      <c r="AC397" s="996">
        <f t="shared" si="81"/>
        <v>101.64763866659685</v>
      </c>
      <c r="AD397" s="996">
        <f t="shared" si="81"/>
        <v>101.64763866659685</v>
      </c>
      <c r="AE397" s="996">
        <f t="shared" si="81"/>
        <v>104.85512065415968</v>
      </c>
      <c r="AF397" s="996">
        <f t="shared" si="81"/>
        <v>106.56303715962581</v>
      </c>
    </row>
    <row r="398" spans="1:32" s="1010" customFormat="1" outlineLevel="4">
      <c r="A398" s="999"/>
      <c r="B398" s="999"/>
      <c r="C398" s="999"/>
      <c r="D398" s="1015">
        <v>42</v>
      </c>
      <c r="E398" s="1017" t="s">
        <v>1996</v>
      </c>
      <c r="F398" s="1046">
        <f>+'[10]7'!$P$88+SUM('[10]7'!$P$89:$P$90)</f>
        <v>42080.341860999994</v>
      </c>
      <c r="G398" s="987">
        <v>8.4975289920858569E-3</v>
      </c>
      <c r="H398" s="986">
        <f t="shared" ref="H398:H403" si="82">IF(H56=0,100,H56/H56*100)</f>
        <v>100</v>
      </c>
      <c r="I398" s="986">
        <f t="shared" ref="I398:AF398" si="83">IF(I56=0,100,I56/H56*H398)</f>
        <v>94.117647058823522</v>
      </c>
      <c r="J398" s="986">
        <f t="shared" si="83"/>
        <v>94.117647058823522</v>
      </c>
      <c r="K398" s="986">
        <f t="shared" si="83"/>
        <v>94.117647058823522</v>
      </c>
      <c r="L398" s="986">
        <f t="shared" si="83"/>
        <v>94.117647058823522</v>
      </c>
      <c r="M398" s="986">
        <f t="shared" si="83"/>
        <v>88.235294117647058</v>
      </c>
      <c r="N398" s="986">
        <f t="shared" si="83"/>
        <v>94.117647058823522</v>
      </c>
      <c r="O398" s="986">
        <f t="shared" si="83"/>
        <v>94.117647058823522</v>
      </c>
      <c r="P398" s="986">
        <f t="shared" si="83"/>
        <v>94.117647058823522</v>
      </c>
      <c r="Q398" s="986">
        <f t="shared" si="83"/>
        <v>94.117647058823522</v>
      </c>
      <c r="R398" s="986">
        <f t="shared" si="83"/>
        <v>94.117647058823522</v>
      </c>
      <c r="S398" s="986">
        <f t="shared" si="83"/>
        <v>94.117647058823522</v>
      </c>
      <c r="T398" s="986">
        <f t="shared" si="83"/>
        <v>94.117647058823522</v>
      </c>
      <c r="U398" s="986">
        <f t="shared" si="83"/>
        <v>94.117647058823522</v>
      </c>
      <c r="V398" s="986">
        <f t="shared" si="83"/>
        <v>94.117647058823522</v>
      </c>
      <c r="W398" s="986">
        <f t="shared" si="83"/>
        <v>94.117647058823522</v>
      </c>
      <c r="X398" s="986">
        <f t="shared" si="83"/>
        <v>94.117647058823522</v>
      </c>
      <c r="Y398" s="986">
        <f t="shared" si="83"/>
        <v>94.117647058823522</v>
      </c>
      <c r="Z398" s="986">
        <f t="shared" si="83"/>
        <v>88.235294117647058</v>
      </c>
      <c r="AA398" s="986">
        <f t="shared" si="83"/>
        <v>94.117647058823522</v>
      </c>
      <c r="AB398" s="986">
        <f t="shared" si="83"/>
        <v>90.17647058823529</v>
      </c>
      <c r="AC398" s="986">
        <f t="shared" si="83"/>
        <v>88.235294117647044</v>
      </c>
      <c r="AD398" s="986">
        <f t="shared" si="83"/>
        <v>88.235294117647044</v>
      </c>
      <c r="AE398" s="986">
        <f t="shared" si="83"/>
        <v>92.156862745098024</v>
      </c>
      <c r="AF398" s="986">
        <f t="shared" si="83"/>
        <v>92.156862745098024</v>
      </c>
    </row>
    <row r="399" spans="1:32" s="1010" customFormat="1" outlineLevel="4">
      <c r="A399" s="999"/>
      <c r="B399" s="999"/>
      <c r="C399" s="999"/>
      <c r="D399" s="1013">
        <f>+D398+1</f>
        <v>43</v>
      </c>
      <c r="E399" s="1017" t="s">
        <v>1995</v>
      </c>
      <c r="F399" s="1046">
        <f>+'[10]7'!$P$91</f>
        <v>21053.839799999998</v>
      </c>
      <c r="G399" s="987">
        <v>4.2515247306258355E-3</v>
      </c>
      <c r="H399" s="986">
        <f t="shared" si="82"/>
        <v>100</v>
      </c>
      <c r="I399" s="986">
        <f t="shared" ref="I399:AF399" si="84">IF(I57=0,100,I57/H57*H399)</f>
        <v>101.86111111111111</v>
      </c>
      <c r="J399" s="986">
        <f t="shared" si="84"/>
        <v>96.305555555555557</v>
      </c>
      <c r="K399" s="986">
        <f t="shared" si="84"/>
        <v>92.583333333333343</v>
      </c>
      <c r="L399" s="986">
        <f t="shared" si="84"/>
        <v>95.361111111111114</v>
      </c>
      <c r="M399" s="986">
        <f t="shared" si="84"/>
        <v>95.361111111111114</v>
      </c>
      <c r="N399" s="986">
        <f t="shared" si="84"/>
        <v>95.361111111111114</v>
      </c>
      <c r="O399" s="986">
        <f t="shared" si="84"/>
        <v>95.361111111111114</v>
      </c>
      <c r="P399" s="986">
        <f t="shared" si="84"/>
        <v>95.361111111111114</v>
      </c>
      <c r="Q399" s="986">
        <f t="shared" si="84"/>
        <v>96.305555555555571</v>
      </c>
      <c r="R399" s="986">
        <f t="shared" si="84"/>
        <v>96.305555555555571</v>
      </c>
      <c r="S399" s="986">
        <f t="shared" si="84"/>
        <v>96.305555555555571</v>
      </c>
      <c r="T399" s="986">
        <f t="shared" si="84"/>
        <v>96.305555555555571</v>
      </c>
      <c r="U399" s="986">
        <f t="shared" si="84"/>
        <v>100.00000000000003</v>
      </c>
      <c r="V399" s="986">
        <f t="shared" si="84"/>
        <v>100.00000000000003</v>
      </c>
      <c r="W399" s="986">
        <f t="shared" si="84"/>
        <v>100.00000000000003</v>
      </c>
      <c r="X399" s="986">
        <f t="shared" si="84"/>
        <v>100.00000000000003</v>
      </c>
      <c r="Y399" s="986">
        <f t="shared" si="84"/>
        <v>100.00000000000003</v>
      </c>
      <c r="Z399" s="986">
        <f t="shared" si="84"/>
        <v>100.00000000000003</v>
      </c>
      <c r="AA399" s="986">
        <f t="shared" si="84"/>
        <v>100.00000000000003</v>
      </c>
      <c r="AB399" s="986">
        <f t="shared" si="84"/>
        <v>97.222222222222243</v>
      </c>
      <c r="AC399" s="986">
        <f t="shared" si="84"/>
        <v>97.222222222222243</v>
      </c>
      <c r="AD399" s="986">
        <f t="shared" si="84"/>
        <v>97.222222222222243</v>
      </c>
      <c r="AE399" s="986">
        <f t="shared" si="84"/>
        <v>98.148148148148167</v>
      </c>
      <c r="AF399" s="986">
        <f t="shared" si="84"/>
        <v>98.148148148148167</v>
      </c>
    </row>
    <row r="400" spans="1:32" s="1010" customFormat="1" outlineLevel="4">
      <c r="A400" s="999"/>
      <c r="B400" s="999"/>
      <c r="C400" s="999"/>
      <c r="D400" s="1015">
        <f>+D399+1</f>
        <v>44</v>
      </c>
      <c r="E400" s="1017" t="s">
        <v>1994</v>
      </c>
      <c r="F400" s="1046">
        <f>+'[10]7'!$P$92</f>
        <v>18625.266599999999</v>
      </c>
      <c r="G400" s="987">
        <v>3.7611087723959684E-3</v>
      </c>
      <c r="H400" s="986">
        <f t="shared" si="82"/>
        <v>100</v>
      </c>
      <c r="I400" s="986">
        <f t="shared" ref="I400:AF400" si="85">IF(I58=0,100,I58/H58*H400)</f>
        <v>103.37097589752233</v>
      </c>
      <c r="J400" s="986">
        <f t="shared" si="85"/>
        <v>102.25855385133995</v>
      </c>
      <c r="K400" s="986">
        <f t="shared" si="85"/>
        <v>102.25855385133995</v>
      </c>
      <c r="L400" s="986">
        <f t="shared" si="85"/>
        <v>103.37097589752231</v>
      </c>
      <c r="M400" s="986">
        <f t="shared" si="85"/>
        <v>103.37097589752231</v>
      </c>
      <c r="N400" s="986">
        <f t="shared" si="85"/>
        <v>103.37097589752231</v>
      </c>
      <c r="O400" s="986">
        <f t="shared" si="85"/>
        <v>103.37097589752231</v>
      </c>
      <c r="P400" s="986">
        <f t="shared" si="85"/>
        <v>103.37097589752231</v>
      </c>
      <c r="Q400" s="986">
        <f t="shared" si="85"/>
        <v>103.37097589752231</v>
      </c>
      <c r="R400" s="986">
        <f t="shared" si="85"/>
        <v>103.37097589752231</v>
      </c>
      <c r="S400" s="986">
        <f t="shared" si="85"/>
        <v>103.37097589752231</v>
      </c>
      <c r="T400" s="986">
        <f t="shared" si="85"/>
        <v>103.37097589752231</v>
      </c>
      <c r="U400" s="986">
        <f t="shared" si="85"/>
        <v>109.55671666947579</v>
      </c>
      <c r="V400" s="986">
        <f t="shared" si="85"/>
        <v>109.55671666947579</v>
      </c>
      <c r="W400" s="986">
        <f t="shared" si="85"/>
        <v>109.55671666947579</v>
      </c>
      <c r="X400" s="986">
        <f t="shared" si="85"/>
        <v>114.6131805157593</v>
      </c>
      <c r="Y400" s="986">
        <f t="shared" si="85"/>
        <v>114.6131805157593</v>
      </c>
      <c r="Z400" s="986">
        <f t="shared" si="85"/>
        <v>112.92769256699813</v>
      </c>
      <c r="AA400" s="986">
        <f t="shared" si="85"/>
        <v>111.24220461823697</v>
      </c>
      <c r="AB400" s="986">
        <f t="shared" si="85"/>
        <v>111.24220461823697</v>
      </c>
      <c r="AC400" s="986">
        <f t="shared" si="85"/>
        <v>111.24220461823697</v>
      </c>
      <c r="AD400" s="986">
        <f t="shared" si="85"/>
        <v>111.24220461823697</v>
      </c>
      <c r="AE400" s="986">
        <f t="shared" si="85"/>
        <v>114.05135119950559</v>
      </c>
      <c r="AF400" s="986">
        <f t="shared" si="85"/>
        <v>115.17500983201303</v>
      </c>
    </row>
    <row r="401" spans="1:32" s="1010" customFormat="1" outlineLevel="4">
      <c r="A401" s="999"/>
      <c r="B401" s="999"/>
      <c r="C401" s="999"/>
      <c r="D401" s="1015">
        <f>+D400+1</f>
        <v>45</v>
      </c>
      <c r="E401" s="1017" t="s">
        <v>1993</v>
      </c>
      <c r="F401" s="1046">
        <f>+'[10]7'!$P$93</f>
        <v>7006.3289800000002</v>
      </c>
      <c r="G401" s="987">
        <v>1.414828896407319E-3</v>
      </c>
      <c r="H401" s="986">
        <f t="shared" si="82"/>
        <v>100</v>
      </c>
      <c r="I401" s="986">
        <f t="shared" ref="I401:AF401" si="86">IF(I59=0,100,I59/H59*H401)</f>
        <v>105.91350397175641</v>
      </c>
      <c r="J401" s="986">
        <f t="shared" si="86"/>
        <v>100.00000000000001</v>
      </c>
      <c r="K401" s="986">
        <f t="shared" si="86"/>
        <v>100.00000000000001</v>
      </c>
      <c r="L401" s="986">
        <f t="shared" si="86"/>
        <v>100.00000000000001</v>
      </c>
      <c r="M401" s="986">
        <f t="shared" si="86"/>
        <v>100.00000000000001</v>
      </c>
      <c r="N401" s="986">
        <f t="shared" si="86"/>
        <v>100.00000000000001</v>
      </c>
      <c r="O401" s="986">
        <f t="shared" si="86"/>
        <v>100.00000000000001</v>
      </c>
      <c r="P401" s="986">
        <f t="shared" si="86"/>
        <v>100.00000000000001</v>
      </c>
      <c r="Q401" s="986">
        <f t="shared" si="86"/>
        <v>105.91350397175643</v>
      </c>
      <c r="R401" s="986">
        <f t="shared" si="86"/>
        <v>105.91350397175643</v>
      </c>
      <c r="S401" s="986">
        <f t="shared" si="86"/>
        <v>105.91350397175643</v>
      </c>
      <c r="T401" s="986">
        <f t="shared" si="86"/>
        <v>105.91350397175643</v>
      </c>
      <c r="U401" s="986">
        <f t="shared" si="86"/>
        <v>114.73962930273612</v>
      </c>
      <c r="V401" s="986">
        <f t="shared" si="86"/>
        <v>114.73962930273612</v>
      </c>
      <c r="W401" s="986">
        <f t="shared" si="86"/>
        <v>114.73962930273612</v>
      </c>
      <c r="X401" s="986">
        <f t="shared" si="86"/>
        <v>114.73962930273612</v>
      </c>
      <c r="Y401" s="986">
        <f t="shared" si="86"/>
        <v>114.73962930273612</v>
      </c>
      <c r="Z401" s="986">
        <f t="shared" si="86"/>
        <v>114.73962930273612</v>
      </c>
      <c r="AA401" s="986">
        <f t="shared" si="86"/>
        <v>114.73962930273612</v>
      </c>
      <c r="AB401" s="986">
        <f t="shared" si="86"/>
        <v>114.73962930273612</v>
      </c>
      <c r="AC401" s="986">
        <f t="shared" si="86"/>
        <v>114.73962930273612</v>
      </c>
      <c r="AD401" s="986">
        <f t="shared" si="86"/>
        <v>114.73962930273612</v>
      </c>
      <c r="AE401" s="986">
        <f t="shared" si="86"/>
        <v>117.68167107972934</v>
      </c>
      <c r="AF401" s="986">
        <f t="shared" si="86"/>
        <v>129.44983818770228</v>
      </c>
    </row>
    <row r="402" spans="1:32" s="1010" customFormat="1" outlineLevel="4">
      <c r="A402" s="999"/>
      <c r="B402" s="999"/>
      <c r="C402" s="999"/>
      <c r="D402" s="1015">
        <f>+D401+1</f>
        <v>46</v>
      </c>
      <c r="E402" s="1048" t="s">
        <v>1992</v>
      </c>
      <c r="F402" s="1046">
        <f>+'[10]7'!$P$96+'[10]7'!$P$94</f>
        <v>19337.956659999996</v>
      </c>
      <c r="G402" s="987">
        <v>3.9050264351190027E-3</v>
      </c>
      <c r="H402" s="986">
        <f t="shared" si="82"/>
        <v>100</v>
      </c>
      <c r="I402" s="986">
        <f t="shared" ref="I402:AF402" si="87">IF(I60=0,100,I60/H60*H402)</f>
        <v>100</v>
      </c>
      <c r="J402" s="986">
        <f t="shared" si="87"/>
        <v>100</v>
      </c>
      <c r="K402" s="986">
        <f t="shared" si="87"/>
        <v>100</v>
      </c>
      <c r="L402" s="986">
        <f t="shared" si="87"/>
        <v>106.00240096038416</v>
      </c>
      <c r="M402" s="986">
        <f t="shared" si="87"/>
        <v>106.00240096038416</v>
      </c>
      <c r="N402" s="986">
        <f t="shared" si="87"/>
        <v>106.00240096038416</v>
      </c>
      <c r="O402" s="986">
        <f t="shared" si="87"/>
        <v>106.00240096038416</v>
      </c>
      <c r="P402" s="986">
        <f t="shared" si="87"/>
        <v>106.00240096038416</v>
      </c>
      <c r="Q402" s="986">
        <f t="shared" si="87"/>
        <v>106.00240096038416</v>
      </c>
      <c r="R402" s="986">
        <f t="shared" si="87"/>
        <v>106.00240096038416</v>
      </c>
      <c r="S402" s="986">
        <f t="shared" si="87"/>
        <v>106.00240096038416</v>
      </c>
      <c r="T402" s="986">
        <f t="shared" si="87"/>
        <v>106.00240096038416</v>
      </c>
      <c r="U402" s="986">
        <f t="shared" si="87"/>
        <v>120.04801920768308</v>
      </c>
      <c r="V402" s="986">
        <f t="shared" si="87"/>
        <v>120.04801920768308</v>
      </c>
      <c r="W402" s="986">
        <f t="shared" si="87"/>
        <v>120.04801920768308</v>
      </c>
      <c r="X402" s="986">
        <f t="shared" si="87"/>
        <v>120.04801920768308</v>
      </c>
      <c r="Y402" s="986">
        <f t="shared" si="87"/>
        <v>120.04801920768308</v>
      </c>
      <c r="Z402" s="986">
        <f t="shared" si="87"/>
        <v>120.04801920768308</v>
      </c>
      <c r="AA402" s="986">
        <f t="shared" si="87"/>
        <v>120.04801920768308</v>
      </c>
      <c r="AB402" s="986">
        <f t="shared" si="87"/>
        <v>120.04801920768308</v>
      </c>
      <c r="AC402" s="986">
        <f t="shared" si="87"/>
        <v>120.04801920768308</v>
      </c>
      <c r="AD402" s="986">
        <f t="shared" si="87"/>
        <v>120.04801920768308</v>
      </c>
      <c r="AE402" s="986">
        <f t="shared" si="87"/>
        <v>124.04961984793917</v>
      </c>
      <c r="AF402" s="986">
        <f t="shared" si="87"/>
        <v>128.0512204881953</v>
      </c>
    </row>
    <row r="403" spans="1:32" s="1010" customFormat="1" outlineLevel="4">
      <c r="A403" s="999"/>
      <c r="B403" s="999"/>
      <c r="C403" s="999"/>
      <c r="D403" s="1015">
        <v>47</v>
      </c>
      <c r="E403" s="1047" t="s">
        <v>1991</v>
      </c>
      <c r="F403" s="1046">
        <f>+'[10]7'!$P$95</f>
        <v>3703.9730000000004</v>
      </c>
      <c r="G403" s="987">
        <v>7.4796488244725659E-4</v>
      </c>
      <c r="H403" s="986">
        <f t="shared" si="82"/>
        <v>100</v>
      </c>
      <c r="I403" s="986">
        <f t="shared" ref="I403:AF403" si="88">IF(I61=0,100,I61/H61*H403)</f>
        <v>101.84420589044866</v>
      </c>
      <c r="J403" s="986">
        <f t="shared" si="88"/>
        <v>100</v>
      </c>
      <c r="K403" s="986">
        <f t="shared" si="88"/>
        <v>100</v>
      </c>
      <c r="L403" s="986">
        <f t="shared" si="88"/>
        <v>100</v>
      </c>
      <c r="M403" s="986">
        <f t="shared" si="88"/>
        <v>100</v>
      </c>
      <c r="N403" s="986">
        <f t="shared" si="88"/>
        <v>100</v>
      </c>
      <c r="O403" s="986">
        <f t="shared" si="88"/>
        <v>100.93586567575005</v>
      </c>
      <c r="P403" s="986">
        <f t="shared" si="88"/>
        <v>100.93586567575005</v>
      </c>
      <c r="Q403" s="986">
        <f t="shared" si="88"/>
        <v>100.93586567575005</v>
      </c>
      <c r="R403" s="986">
        <f t="shared" si="88"/>
        <v>100.93586567575005</v>
      </c>
      <c r="S403" s="986">
        <f t="shared" si="88"/>
        <v>100.93586567575005</v>
      </c>
      <c r="T403" s="986">
        <f t="shared" si="88"/>
        <v>100.93586567575005</v>
      </c>
      <c r="U403" s="986">
        <f t="shared" si="88"/>
        <v>104.59675199559589</v>
      </c>
      <c r="V403" s="986">
        <f t="shared" si="88"/>
        <v>107.34929810074317</v>
      </c>
      <c r="W403" s="986">
        <f t="shared" si="88"/>
        <v>99.091659785301388</v>
      </c>
      <c r="X403" s="986">
        <f t="shared" si="88"/>
        <v>99.091659785301388</v>
      </c>
      <c r="Y403" s="986">
        <f t="shared" si="88"/>
        <v>99.091659785301388</v>
      </c>
      <c r="Z403" s="986">
        <f t="shared" si="88"/>
        <v>101.84420589044863</v>
      </c>
      <c r="AA403" s="986">
        <f t="shared" si="88"/>
        <v>110.10184420589042</v>
      </c>
      <c r="AB403" s="986">
        <f t="shared" si="88"/>
        <v>110.10184420589042</v>
      </c>
      <c r="AC403" s="986">
        <f t="shared" si="88"/>
        <v>110.10184420589042</v>
      </c>
      <c r="AD403" s="986">
        <f t="shared" si="88"/>
        <v>110.10184420589042</v>
      </c>
      <c r="AE403" s="986">
        <f t="shared" si="88"/>
        <v>116.52445178456736</v>
      </c>
      <c r="AF403" s="986">
        <f t="shared" si="88"/>
        <v>119.27699788971462</v>
      </c>
    </row>
    <row r="404" spans="1:32" outlineLevel="3">
      <c r="A404" s="999"/>
      <c r="B404" s="999"/>
      <c r="C404" s="1956" t="s">
        <v>1990</v>
      </c>
      <c r="D404" s="1956"/>
      <c r="E404" s="1956"/>
      <c r="F404" s="998">
        <f>SUM(F405:F410)</f>
        <v>50073.758585000003</v>
      </c>
      <c r="G404" s="997">
        <v>1.0111686276795706E-2</v>
      </c>
      <c r="H404" s="996">
        <f t="shared" ref="H404:AF404" si="89">+SUMPRODUCT(H405:H410,$G405:$G410)/$G404</f>
        <v>100</v>
      </c>
      <c r="I404" s="996">
        <f t="shared" si="89"/>
        <v>102.03311742029489</v>
      </c>
      <c r="J404" s="996">
        <f t="shared" si="89"/>
        <v>102.3084621152188</v>
      </c>
      <c r="K404" s="996">
        <f t="shared" si="89"/>
        <v>103.02242061151496</v>
      </c>
      <c r="L404" s="996">
        <f t="shared" si="89"/>
        <v>101.59450361892262</v>
      </c>
      <c r="M404" s="996">
        <f t="shared" si="89"/>
        <v>100.83271112090041</v>
      </c>
      <c r="N404" s="996">
        <f t="shared" si="89"/>
        <v>100.83271112090041</v>
      </c>
      <c r="O404" s="996">
        <f t="shared" si="89"/>
        <v>100.83271112090041</v>
      </c>
      <c r="P404" s="996">
        <f t="shared" si="89"/>
        <v>103.05831300327532</v>
      </c>
      <c r="Q404" s="996">
        <f t="shared" si="89"/>
        <v>103.05831300327532</v>
      </c>
      <c r="R404" s="996">
        <f t="shared" si="89"/>
        <v>103.05831300327532</v>
      </c>
      <c r="S404" s="996">
        <f t="shared" si="89"/>
        <v>103.05831300327532</v>
      </c>
      <c r="T404" s="996">
        <f t="shared" si="89"/>
        <v>103.05831300327532</v>
      </c>
      <c r="U404" s="996">
        <f t="shared" si="89"/>
        <v>106.11352487862369</v>
      </c>
      <c r="V404" s="996">
        <f t="shared" si="89"/>
        <v>110.07898753411027</v>
      </c>
      <c r="W404" s="996">
        <f t="shared" si="89"/>
        <v>115.49788491985662</v>
      </c>
      <c r="X404" s="996">
        <f t="shared" si="89"/>
        <v>115.74860571884768</v>
      </c>
      <c r="Y404" s="996">
        <f t="shared" si="89"/>
        <v>115.74860571884768</v>
      </c>
      <c r="Z404" s="996">
        <f t="shared" si="89"/>
        <v>115.24583623618931</v>
      </c>
      <c r="AA404" s="996">
        <f t="shared" si="89"/>
        <v>117.55429835140808</v>
      </c>
      <c r="AB404" s="996">
        <f t="shared" si="89"/>
        <v>115.24583623618931</v>
      </c>
      <c r="AC404" s="996">
        <f t="shared" si="89"/>
        <v>115.24583623618931</v>
      </c>
      <c r="AD404" s="996">
        <f t="shared" si="89"/>
        <v>115.24583623618931</v>
      </c>
      <c r="AE404" s="996">
        <f t="shared" si="89"/>
        <v>115.93171447764664</v>
      </c>
      <c r="AF404" s="996">
        <f t="shared" si="89"/>
        <v>115.93171447764664</v>
      </c>
    </row>
    <row r="405" spans="1:32" s="1010" customFormat="1" outlineLevel="4">
      <c r="A405" s="999"/>
      <c r="B405" s="999"/>
      <c r="C405" s="999"/>
      <c r="D405" s="1015">
        <f>+D403+1</f>
        <v>48</v>
      </c>
      <c r="E405" s="1017" t="s">
        <v>1989</v>
      </c>
      <c r="F405" s="1046">
        <f>+'[10]7'!$P$101+0.7*'[10]7'!$P$105</f>
        <v>7727.2636060000004</v>
      </c>
      <c r="G405" s="987">
        <v>1.5604114324539496E-3</v>
      </c>
      <c r="H405" s="986">
        <f t="shared" ref="H405:H410" si="90">IF(H63=0,100,H63/H63*100)</f>
        <v>100</v>
      </c>
      <c r="I405" s="986">
        <f t="shared" ref="I405:AF405" si="91">IF(I63=0,100,I63/H63*H405)</f>
        <v>100</v>
      </c>
      <c r="J405" s="986">
        <f t="shared" si="91"/>
        <v>100</v>
      </c>
      <c r="K405" s="986">
        <f t="shared" si="91"/>
        <v>100</v>
      </c>
      <c r="L405" s="986">
        <f t="shared" si="91"/>
        <v>100</v>
      </c>
      <c r="M405" s="986">
        <f t="shared" si="91"/>
        <v>100</v>
      </c>
      <c r="N405" s="986">
        <f t="shared" si="91"/>
        <v>100</v>
      </c>
      <c r="O405" s="986">
        <f t="shared" si="91"/>
        <v>100</v>
      </c>
      <c r="P405" s="986">
        <f t="shared" si="91"/>
        <v>100</v>
      </c>
      <c r="Q405" s="986">
        <f t="shared" si="91"/>
        <v>100</v>
      </c>
      <c r="R405" s="986">
        <f t="shared" si="91"/>
        <v>100</v>
      </c>
      <c r="S405" s="986">
        <f t="shared" si="91"/>
        <v>100</v>
      </c>
      <c r="T405" s="986">
        <f t="shared" si="91"/>
        <v>100</v>
      </c>
      <c r="U405" s="986">
        <f t="shared" si="91"/>
        <v>100</v>
      </c>
      <c r="V405" s="986">
        <f t="shared" si="91"/>
        <v>100</v>
      </c>
      <c r="W405" s="986">
        <f t="shared" si="91"/>
        <v>100</v>
      </c>
      <c r="X405" s="986">
        <f t="shared" si="91"/>
        <v>100</v>
      </c>
      <c r="Y405" s="986">
        <f t="shared" si="91"/>
        <v>100</v>
      </c>
      <c r="Z405" s="986">
        <f t="shared" si="91"/>
        <v>100</v>
      </c>
      <c r="AA405" s="986">
        <f t="shared" si="91"/>
        <v>100</v>
      </c>
      <c r="AB405" s="986">
        <f t="shared" si="91"/>
        <v>100</v>
      </c>
      <c r="AC405" s="986">
        <f t="shared" si="91"/>
        <v>100</v>
      </c>
      <c r="AD405" s="986">
        <f t="shared" si="91"/>
        <v>100</v>
      </c>
      <c r="AE405" s="986">
        <f t="shared" si="91"/>
        <v>100</v>
      </c>
      <c r="AF405" s="986">
        <f t="shared" si="91"/>
        <v>100</v>
      </c>
    </row>
    <row r="406" spans="1:32" s="1010" customFormat="1" outlineLevel="4">
      <c r="A406" s="999"/>
      <c r="B406" s="999"/>
      <c r="C406" s="999"/>
      <c r="D406" s="1015">
        <f>+D405+1</f>
        <v>49</v>
      </c>
      <c r="E406" s="1017" t="s">
        <v>1988</v>
      </c>
      <c r="F406" s="1046">
        <f>+'[10]7'!$P$104+0.5*'[10]7'!$P$106+0.3*'[10]7'!$P$105</f>
        <v>15217.867774</v>
      </c>
      <c r="G406" s="987">
        <v>3.0730328435649512E-3</v>
      </c>
      <c r="H406" s="986">
        <f t="shared" si="90"/>
        <v>100</v>
      </c>
      <c r="I406" s="986">
        <f t="shared" ref="I406:AF406" si="92">IF(I64=0,100,I64/H64*H406)</f>
        <v>102.54462590201292</v>
      </c>
      <c r="J406" s="986">
        <f t="shared" si="92"/>
        <v>107.59589821496394</v>
      </c>
      <c r="K406" s="986">
        <f t="shared" si="92"/>
        <v>107.59589821496394</v>
      </c>
      <c r="L406" s="986">
        <f t="shared" si="92"/>
        <v>107.59589821496394</v>
      </c>
      <c r="M406" s="986">
        <f t="shared" si="92"/>
        <v>105.08925180402584</v>
      </c>
      <c r="N406" s="986">
        <f t="shared" si="92"/>
        <v>105.08925180402584</v>
      </c>
      <c r="O406" s="986">
        <f t="shared" si="92"/>
        <v>105.08925180402584</v>
      </c>
      <c r="P406" s="986">
        <f t="shared" si="92"/>
        <v>115.19179642992785</v>
      </c>
      <c r="Q406" s="986">
        <f t="shared" si="92"/>
        <v>115.19179642992785</v>
      </c>
      <c r="R406" s="986">
        <f t="shared" si="92"/>
        <v>115.19179642992785</v>
      </c>
      <c r="S406" s="986">
        <f t="shared" si="92"/>
        <v>115.19179642992785</v>
      </c>
      <c r="T406" s="986">
        <f t="shared" si="92"/>
        <v>115.19179642992785</v>
      </c>
      <c r="U406" s="986">
        <f t="shared" si="92"/>
        <v>121.53437143942271</v>
      </c>
      <c r="V406" s="986">
        <f t="shared" si="92"/>
        <v>132.92821876186861</v>
      </c>
      <c r="W406" s="986">
        <f t="shared" si="92"/>
        <v>148.12001519179645</v>
      </c>
      <c r="X406" s="986">
        <f t="shared" si="92"/>
        <v>151.9179642992784</v>
      </c>
      <c r="Y406" s="986">
        <f t="shared" si="92"/>
        <v>151.9179642992784</v>
      </c>
      <c r="Z406" s="986">
        <f t="shared" si="92"/>
        <v>151.9179642992784</v>
      </c>
      <c r="AA406" s="986">
        <f t="shared" si="92"/>
        <v>159.51386251424233</v>
      </c>
      <c r="AB406" s="986">
        <f t="shared" si="92"/>
        <v>151.9179642992784</v>
      </c>
      <c r="AC406" s="986">
        <f t="shared" si="92"/>
        <v>151.9179642992784</v>
      </c>
      <c r="AD406" s="986">
        <f t="shared" si="92"/>
        <v>151.9179642992784</v>
      </c>
      <c r="AE406" s="986">
        <f t="shared" si="92"/>
        <v>151.9179642992784</v>
      </c>
      <c r="AF406" s="986">
        <f t="shared" si="92"/>
        <v>151.9179642992784</v>
      </c>
    </row>
    <row r="407" spans="1:32" s="1010" customFormat="1" outlineLevel="4">
      <c r="A407" s="999"/>
      <c r="B407" s="999"/>
      <c r="C407" s="999"/>
      <c r="D407" s="1015">
        <f>+D406+1</f>
        <v>50</v>
      </c>
      <c r="E407" s="1017" t="s">
        <v>1987</v>
      </c>
      <c r="F407" s="1046">
        <f>+'[10]7'!$P$103+'[10]7'!$P$102+0.5*'[10]7'!$P$106</f>
        <v>12033.64704</v>
      </c>
      <c r="G407" s="987">
        <v>2.4300245692086245E-3</v>
      </c>
      <c r="H407" s="986">
        <f t="shared" si="90"/>
        <v>100</v>
      </c>
      <c r="I407" s="986">
        <f t="shared" ref="I407:AF407" si="93">IF(I65=0,100,I65/H65*H407)</f>
        <v>104.99108734402851</v>
      </c>
      <c r="J407" s="986">
        <f t="shared" si="93"/>
        <v>100</v>
      </c>
      <c r="K407" s="986">
        <f t="shared" si="93"/>
        <v>102.97088532382649</v>
      </c>
      <c r="L407" s="986">
        <f t="shared" si="93"/>
        <v>97.029114676173492</v>
      </c>
      <c r="M407" s="986">
        <f t="shared" si="93"/>
        <v>97.029114676173492</v>
      </c>
      <c r="N407" s="986">
        <f t="shared" si="93"/>
        <v>97.029114676173492</v>
      </c>
      <c r="O407" s="986">
        <f t="shared" si="93"/>
        <v>97.029114676173492</v>
      </c>
      <c r="P407" s="986">
        <f t="shared" si="93"/>
        <v>97.029114676173492</v>
      </c>
      <c r="Q407" s="986">
        <f t="shared" si="93"/>
        <v>97.029114676173492</v>
      </c>
      <c r="R407" s="986">
        <f t="shared" si="93"/>
        <v>97.029114676173492</v>
      </c>
      <c r="S407" s="986">
        <f t="shared" si="93"/>
        <v>97.029114676173492</v>
      </c>
      <c r="T407" s="986">
        <f t="shared" si="93"/>
        <v>97.029114676173492</v>
      </c>
      <c r="U407" s="986">
        <f t="shared" si="93"/>
        <v>101.010101010101</v>
      </c>
      <c r="V407" s="986">
        <f t="shared" si="93"/>
        <v>101.010101010101</v>
      </c>
      <c r="W407" s="986">
        <f t="shared" si="93"/>
        <v>101.010101010101</v>
      </c>
      <c r="X407" s="986">
        <f t="shared" si="93"/>
        <v>101.010101010101</v>
      </c>
      <c r="Y407" s="986">
        <f t="shared" si="93"/>
        <v>101.010101010101</v>
      </c>
      <c r="Z407" s="986">
        <f t="shared" si="93"/>
        <v>101.010101010101</v>
      </c>
      <c r="AA407" s="986">
        <f t="shared" si="93"/>
        <v>101.010101010101</v>
      </c>
      <c r="AB407" s="986">
        <f t="shared" si="93"/>
        <v>101.010101010101</v>
      </c>
      <c r="AC407" s="986">
        <f t="shared" si="93"/>
        <v>101.010101010101</v>
      </c>
      <c r="AD407" s="986">
        <f t="shared" si="93"/>
        <v>101.010101010101</v>
      </c>
      <c r="AE407" s="986">
        <f t="shared" si="93"/>
        <v>101.010101010101</v>
      </c>
      <c r="AF407" s="986">
        <f t="shared" si="93"/>
        <v>101.010101010101</v>
      </c>
    </row>
    <row r="408" spans="1:32" s="1010" customFormat="1" outlineLevel="4">
      <c r="A408" s="999"/>
      <c r="B408" s="999"/>
      <c r="C408" s="999"/>
      <c r="D408" s="1015">
        <f>+D407+1</f>
        <v>51</v>
      </c>
      <c r="E408" s="1045" t="s">
        <v>1986</v>
      </c>
      <c r="F408" s="1046">
        <f>+'[10]7'!$P$100+'[10]7'!$P$107</f>
        <v>3013.6819949999999</v>
      </c>
      <c r="G408" s="987">
        <v>6.0857039161019491E-4</v>
      </c>
      <c r="H408" s="986">
        <f t="shared" si="90"/>
        <v>100</v>
      </c>
      <c r="I408" s="986">
        <f t="shared" ref="I408:AF408" si="94">IF(I66=0,100,I66/H66*H408)</f>
        <v>100</v>
      </c>
      <c r="J408" s="986">
        <f t="shared" si="94"/>
        <v>100</v>
      </c>
      <c r="K408" s="986">
        <f t="shared" si="94"/>
        <v>100</v>
      </c>
      <c r="L408" s="986">
        <f t="shared" si="94"/>
        <v>100</v>
      </c>
      <c r="M408" s="986">
        <f t="shared" si="94"/>
        <v>100</v>
      </c>
      <c r="N408" s="986">
        <f t="shared" si="94"/>
        <v>100</v>
      </c>
      <c r="O408" s="986">
        <f t="shared" si="94"/>
        <v>100</v>
      </c>
      <c r="P408" s="986">
        <f t="shared" si="94"/>
        <v>100</v>
      </c>
      <c r="Q408" s="986">
        <f t="shared" si="94"/>
        <v>100</v>
      </c>
      <c r="R408" s="986">
        <f t="shared" si="94"/>
        <v>100</v>
      </c>
      <c r="S408" s="986">
        <f t="shared" si="94"/>
        <v>100</v>
      </c>
      <c r="T408" s="986">
        <f t="shared" si="94"/>
        <v>100</v>
      </c>
      <c r="U408" s="986">
        <f t="shared" si="94"/>
        <v>100</v>
      </c>
      <c r="V408" s="986">
        <f t="shared" si="94"/>
        <v>100</v>
      </c>
      <c r="W408" s="986">
        <f t="shared" si="94"/>
        <v>116.66666666666667</v>
      </c>
      <c r="X408" s="986">
        <f t="shared" si="94"/>
        <v>106.66666666666667</v>
      </c>
      <c r="Y408" s="986">
        <f t="shared" si="94"/>
        <v>106.66666666666667</v>
      </c>
      <c r="Z408" s="986">
        <f t="shared" si="94"/>
        <v>106.66666666666667</v>
      </c>
      <c r="AA408" s="986">
        <f t="shared" si="94"/>
        <v>106.66666666666667</v>
      </c>
      <c r="AB408" s="986">
        <f t="shared" si="94"/>
        <v>106.66666666666667</v>
      </c>
      <c r="AC408" s="986">
        <f t="shared" si="94"/>
        <v>106.66666666666667</v>
      </c>
      <c r="AD408" s="986">
        <f t="shared" si="94"/>
        <v>106.66666666666667</v>
      </c>
      <c r="AE408" s="986">
        <f t="shared" si="94"/>
        <v>106.66666666666667</v>
      </c>
      <c r="AF408" s="986">
        <f t="shared" si="94"/>
        <v>106.66666666666667</v>
      </c>
    </row>
    <row r="409" spans="1:32" s="1010" customFormat="1" outlineLevel="4">
      <c r="A409" s="999"/>
      <c r="B409" s="999"/>
      <c r="C409" s="999"/>
      <c r="D409" s="1015">
        <f>+D408+1</f>
        <v>52</v>
      </c>
      <c r="E409" s="1045" t="s">
        <v>1985</v>
      </c>
      <c r="F409" s="1046">
        <f>+'[10]7'!$P$98</f>
        <v>3106.6638199999998</v>
      </c>
      <c r="G409" s="987">
        <v>6.2734675412845736E-4</v>
      </c>
      <c r="H409" s="986">
        <f t="shared" si="90"/>
        <v>100</v>
      </c>
      <c r="I409" s="986">
        <f t="shared" ref="I409:AF409" si="95">IF(I67=0,100,I67/H67*H409)</f>
        <v>100.97244732576986</v>
      </c>
      <c r="J409" s="986">
        <f t="shared" si="95"/>
        <v>100</v>
      </c>
      <c r="K409" s="986">
        <f t="shared" si="95"/>
        <v>100</v>
      </c>
      <c r="L409" s="986">
        <f t="shared" si="95"/>
        <v>100</v>
      </c>
      <c r="M409" s="986">
        <f t="shared" si="95"/>
        <v>100</v>
      </c>
      <c r="N409" s="986">
        <f t="shared" si="95"/>
        <v>100</v>
      </c>
      <c r="O409" s="986">
        <f t="shared" si="95"/>
        <v>100</v>
      </c>
      <c r="P409" s="986">
        <f t="shared" si="95"/>
        <v>86.385737439222041</v>
      </c>
      <c r="Q409" s="986">
        <f t="shared" si="95"/>
        <v>86.385737439222041</v>
      </c>
      <c r="R409" s="986">
        <f t="shared" si="95"/>
        <v>86.385737439222041</v>
      </c>
      <c r="S409" s="986">
        <f t="shared" si="95"/>
        <v>86.385737439222041</v>
      </c>
      <c r="T409" s="986">
        <f t="shared" si="95"/>
        <v>86.385737439222041</v>
      </c>
      <c r="U409" s="986">
        <f t="shared" si="95"/>
        <v>89.141004862236628</v>
      </c>
      <c r="V409" s="986">
        <f t="shared" si="95"/>
        <v>97.244732576985399</v>
      </c>
      <c r="W409" s="986">
        <f t="shared" si="95"/>
        <v>94.003241491085888</v>
      </c>
      <c r="X409" s="986">
        <f t="shared" si="95"/>
        <v>89.141004862236613</v>
      </c>
      <c r="Y409" s="986">
        <f t="shared" si="95"/>
        <v>89.141004862236613</v>
      </c>
      <c r="Z409" s="986">
        <f t="shared" si="95"/>
        <v>81.037277147487828</v>
      </c>
      <c r="AA409" s="986">
        <f t="shared" si="95"/>
        <v>81.037277147487828</v>
      </c>
      <c r="AB409" s="986">
        <f t="shared" si="95"/>
        <v>81.037277147487828</v>
      </c>
      <c r="AC409" s="986">
        <f t="shared" si="95"/>
        <v>81.037277147487828</v>
      </c>
      <c r="AD409" s="986">
        <f t="shared" si="95"/>
        <v>81.037277147487828</v>
      </c>
      <c r="AE409" s="986">
        <f t="shared" si="95"/>
        <v>78.336034575904904</v>
      </c>
      <c r="AF409" s="986">
        <f t="shared" si="95"/>
        <v>78.336034575904904</v>
      </c>
    </row>
    <row r="410" spans="1:32" s="1010" customFormat="1" outlineLevel="4">
      <c r="A410" s="999"/>
      <c r="B410" s="999"/>
      <c r="C410" s="999"/>
      <c r="D410" s="1015">
        <f>+D409+1</f>
        <v>53</v>
      </c>
      <c r="E410" s="1045" t="s">
        <v>1984</v>
      </c>
      <c r="F410" s="1046">
        <f>+'[10]7'!$P$97</f>
        <v>8974.6343500000003</v>
      </c>
      <c r="G410" s="987">
        <v>1.8123002858295295E-3</v>
      </c>
      <c r="H410" s="986">
        <f t="shared" si="90"/>
        <v>100</v>
      </c>
      <c r="I410" s="986">
        <f t="shared" ref="I410:AF410" si="96">IF(I68=0,100,I68/H68*H410)</f>
        <v>100</v>
      </c>
      <c r="J410" s="986">
        <f t="shared" si="96"/>
        <v>100</v>
      </c>
      <c r="K410" s="986">
        <f t="shared" si="96"/>
        <v>100</v>
      </c>
      <c r="L410" s="986">
        <f t="shared" si="96"/>
        <v>100</v>
      </c>
      <c r="M410" s="986">
        <f t="shared" si="96"/>
        <v>100</v>
      </c>
      <c r="N410" s="986">
        <f t="shared" si="96"/>
        <v>100</v>
      </c>
      <c r="O410" s="986">
        <f t="shared" si="96"/>
        <v>100</v>
      </c>
      <c r="P410" s="986">
        <f t="shared" si="96"/>
        <v>100</v>
      </c>
      <c r="Q410" s="986">
        <f t="shared" si="96"/>
        <v>100</v>
      </c>
      <c r="R410" s="986">
        <f t="shared" si="96"/>
        <v>100</v>
      </c>
      <c r="S410" s="986">
        <f t="shared" si="96"/>
        <v>100</v>
      </c>
      <c r="T410" s="986">
        <f t="shared" si="96"/>
        <v>100</v>
      </c>
      <c r="U410" s="986">
        <f t="shared" si="96"/>
        <v>100</v>
      </c>
      <c r="V410" s="986">
        <f t="shared" si="96"/>
        <v>100</v>
      </c>
      <c r="W410" s="986">
        <f t="shared" si="96"/>
        <v>100</v>
      </c>
      <c r="X410" s="986">
        <f t="shared" si="96"/>
        <v>100</v>
      </c>
      <c r="Y410" s="986">
        <f t="shared" si="96"/>
        <v>100</v>
      </c>
      <c r="Z410" s="986">
        <f t="shared" si="96"/>
        <v>100</v>
      </c>
      <c r="AA410" s="986">
        <f t="shared" si="96"/>
        <v>100</v>
      </c>
      <c r="AB410" s="986">
        <f t="shared" si="96"/>
        <v>100</v>
      </c>
      <c r="AC410" s="986">
        <f t="shared" si="96"/>
        <v>100</v>
      </c>
      <c r="AD410" s="986">
        <f t="shared" si="96"/>
        <v>100</v>
      </c>
      <c r="AE410" s="986">
        <f t="shared" si="96"/>
        <v>104.76190476190477</v>
      </c>
      <c r="AF410" s="986">
        <f t="shared" si="96"/>
        <v>104.76190476190477</v>
      </c>
    </row>
    <row r="411" spans="1:32" outlineLevel="2">
      <c r="A411" s="999"/>
      <c r="B411" s="1955" t="s">
        <v>1983</v>
      </c>
      <c r="C411" s="1955"/>
      <c r="D411" s="1955"/>
      <c r="E411" s="1955"/>
      <c r="F411" s="1020">
        <f>+F412+F416</f>
        <v>49430.208458000008</v>
      </c>
      <c r="G411" s="1019">
        <v>9.981730444209868E-3</v>
      </c>
      <c r="H411" s="1018">
        <f t="shared" ref="H411:AF411" si="97">+($G$412*H412+$G$416*H416)/$G$411</f>
        <v>99.999999999999986</v>
      </c>
      <c r="I411" s="1018">
        <f t="shared" si="97"/>
        <v>99.999999999999986</v>
      </c>
      <c r="J411" s="1018">
        <f t="shared" si="97"/>
        <v>104.17968854863658</v>
      </c>
      <c r="K411" s="1018">
        <f t="shared" si="97"/>
        <v>103.17973797892625</v>
      </c>
      <c r="L411" s="1018">
        <f t="shared" si="97"/>
        <v>103.17973797892625</v>
      </c>
      <c r="M411" s="1018">
        <f t="shared" si="97"/>
        <v>104.51837243433768</v>
      </c>
      <c r="N411" s="1018">
        <f t="shared" si="97"/>
        <v>104.82964951523087</v>
      </c>
      <c r="O411" s="1018">
        <f t="shared" si="97"/>
        <v>104.82964951523087</v>
      </c>
      <c r="P411" s="1018">
        <f t="shared" si="97"/>
        <v>101.3935669649034</v>
      </c>
      <c r="Q411" s="1018">
        <f t="shared" si="97"/>
        <v>101.3935669649034</v>
      </c>
      <c r="R411" s="1018">
        <f t="shared" si="97"/>
        <v>101.3935669649034</v>
      </c>
      <c r="S411" s="1018">
        <f t="shared" si="97"/>
        <v>101.3935669649034</v>
      </c>
      <c r="T411" s="1018">
        <f t="shared" si="97"/>
        <v>103.10722943007409</v>
      </c>
      <c r="U411" s="1018">
        <f t="shared" si="97"/>
        <v>108.04814702056652</v>
      </c>
      <c r="V411" s="1018">
        <f t="shared" si="97"/>
        <v>108.94280799412003</v>
      </c>
      <c r="W411" s="1018">
        <f t="shared" si="97"/>
        <v>114.1198294541128</v>
      </c>
      <c r="X411" s="1018">
        <f t="shared" si="97"/>
        <v>118.38133008794914</v>
      </c>
      <c r="Y411" s="1018">
        <f t="shared" si="97"/>
        <v>117.83201759225527</v>
      </c>
      <c r="Z411" s="1018">
        <f t="shared" si="97"/>
        <v>125.62953070705535</v>
      </c>
      <c r="AA411" s="1018">
        <f t="shared" si="97"/>
        <v>126.6436477187307</v>
      </c>
      <c r="AB411" s="1018">
        <f t="shared" si="97"/>
        <v>131.75702105161395</v>
      </c>
      <c r="AC411" s="1018">
        <f t="shared" si="97"/>
        <v>129.7287870282633</v>
      </c>
      <c r="AD411" s="1018">
        <f t="shared" si="97"/>
        <v>129.7287870282633</v>
      </c>
      <c r="AE411" s="1018">
        <f t="shared" si="97"/>
        <v>131.2288723112045</v>
      </c>
      <c r="AF411" s="1018">
        <f t="shared" si="97"/>
        <v>133.28070482146407</v>
      </c>
    </row>
    <row r="412" spans="1:32" outlineLevel="3">
      <c r="A412" s="999"/>
      <c r="B412" s="999"/>
      <c r="C412" s="1956" t="s">
        <v>1686</v>
      </c>
      <c r="D412" s="1956"/>
      <c r="E412" s="1956"/>
      <c r="F412" s="998">
        <f>SUM(F413:F415)</f>
        <v>24609.465118000004</v>
      </c>
      <c r="G412" s="997">
        <v>4.9695328999630204E-3</v>
      </c>
      <c r="H412" s="996">
        <f t="shared" ref="H412:AF412" si="98">+SUMPRODUCT(H413:H415,$G413:$G415)/$G412</f>
        <v>100</v>
      </c>
      <c r="I412" s="996">
        <f t="shared" si="98"/>
        <v>100</v>
      </c>
      <c r="J412" s="996">
        <f t="shared" si="98"/>
        <v>104.97320075743568</v>
      </c>
      <c r="K412" s="996">
        <f t="shared" si="98"/>
        <v>102.96471480004179</v>
      </c>
      <c r="L412" s="996">
        <f t="shared" si="98"/>
        <v>102.96471480004179</v>
      </c>
      <c r="M412" s="996">
        <f t="shared" si="98"/>
        <v>102.96471480004179</v>
      </c>
      <c r="N412" s="996">
        <f t="shared" si="98"/>
        <v>103.58994135100383</v>
      </c>
      <c r="O412" s="996">
        <f t="shared" si="98"/>
        <v>103.58994135100383</v>
      </c>
      <c r="P412" s="996">
        <f t="shared" si="98"/>
        <v>100.76215757626215</v>
      </c>
      <c r="Q412" s="996">
        <f t="shared" si="98"/>
        <v>100.76215757626215</v>
      </c>
      <c r="R412" s="996">
        <f t="shared" si="98"/>
        <v>100.76215757626215</v>
      </c>
      <c r="S412" s="996">
        <f t="shared" si="98"/>
        <v>100.76215757626215</v>
      </c>
      <c r="T412" s="996">
        <f t="shared" si="98"/>
        <v>104.20419471416322</v>
      </c>
      <c r="U412" s="996">
        <f t="shared" si="98"/>
        <v>109.3540161038171</v>
      </c>
      <c r="V412" s="996">
        <f t="shared" si="98"/>
        <v>110.08957675200774</v>
      </c>
      <c r="W412" s="996">
        <f t="shared" si="98"/>
        <v>111.19291772429371</v>
      </c>
      <c r="X412" s="996">
        <f t="shared" si="98"/>
        <v>110.45735707610307</v>
      </c>
      <c r="Y412" s="996">
        <f t="shared" si="98"/>
        <v>109.3540161038171</v>
      </c>
      <c r="Z412" s="996">
        <f t="shared" si="98"/>
        <v>106.51163390679977</v>
      </c>
      <c r="AA412" s="996">
        <f t="shared" si="98"/>
        <v>106.51163390679977</v>
      </c>
      <c r="AB412" s="996">
        <f t="shared" si="98"/>
        <v>106.51163390679977</v>
      </c>
      <c r="AC412" s="996">
        <f t="shared" si="98"/>
        <v>106.51163390679977</v>
      </c>
      <c r="AD412" s="996">
        <f t="shared" si="98"/>
        <v>106.51163390679977</v>
      </c>
      <c r="AE412" s="996">
        <f t="shared" si="98"/>
        <v>107.45909463913887</v>
      </c>
      <c r="AF412" s="996">
        <f t="shared" si="98"/>
        <v>108.70001052430942</v>
      </c>
    </row>
    <row r="413" spans="1:32" s="1010" customFormat="1" outlineLevel="4">
      <c r="A413" s="999"/>
      <c r="B413" s="999"/>
      <c r="C413" s="999"/>
      <c r="D413" s="1015">
        <f>+D410+1</f>
        <v>54</v>
      </c>
      <c r="E413" s="1014" t="s">
        <v>1982</v>
      </c>
      <c r="F413" s="1046">
        <f>+'[10]7'!$P$109-500</f>
        <v>16032.595000000001</v>
      </c>
      <c r="G413" s="987">
        <v>3.2375554666568772E-3</v>
      </c>
      <c r="H413" s="986">
        <f>IF(H71=0,100,H71/H71*100)</f>
        <v>100</v>
      </c>
      <c r="I413" s="986">
        <f t="shared" ref="I413:AF413" si="99">IF(I71=0,100,I71/H71*H413)</f>
        <v>100</v>
      </c>
      <c r="J413" s="986">
        <f t="shared" si="99"/>
        <v>105.71428571428572</v>
      </c>
      <c r="K413" s="986">
        <f t="shared" si="99"/>
        <v>102.85714285714288</v>
      </c>
      <c r="L413" s="986">
        <f t="shared" si="99"/>
        <v>102.85714285714288</v>
      </c>
      <c r="M413" s="986">
        <f t="shared" si="99"/>
        <v>102.85714285714288</v>
      </c>
      <c r="N413" s="986">
        <f t="shared" si="99"/>
        <v>102.85714285714288</v>
      </c>
      <c r="O413" s="986">
        <f t="shared" si="99"/>
        <v>102.85714285714288</v>
      </c>
      <c r="P413" s="986">
        <f t="shared" si="99"/>
        <v>100.00000000000001</v>
      </c>
      <c r="Q413" s="986">
        <f t="shared" si="99"/>
        <v>100.00000000000001</v>
      </c>
      <c r="R413" s="986">
        <f t="shared" si="99"/>
        <v>100.00000000000001</v>
      </c>
      <c r="S413" s="986">
        <f t="shared" si="99"/>
        <v>100.00000000000001</v>
      </c>
      <c r="T413" s="986">
        <f t="shared" si="99"/>
        <v>103.80000000000001</v>
      </c>
      <c r="U413" s="986">
        <f t="shared" si="99"/>
        <v>108.57142857142858</v>
      </c>
      <c r="V413" s="986">
        <f t="shared" si="99"/>
        <v>108.57142857142858</v>
      </c>
      <c r="W413" s="986">
        <f t="shared" si="99"/>
        <v>108.57142857142858</v>
      </c>
      <c r="X413" s="986">
        <f t="shared" si="99"/>
        <v>108.57142857142858</v>
      </c>
      <c r="Y413" s="986">
        <f t="shared" si="99"/>
        <v>108.57142857142858</v>
      </c>
      <c r="Z413" s="986">
        <f t="shared" si="99"/>
        <v>108.57142857142858</v>
      </c>
      <c r="AA413" s="986">
        <f t="shared" si="99"/>
        <v>108.57142857142858</v>
      </c>
      <c r="AB413" s="986">
        <f t="shared" si="99"/>
        <v>108.57142857142858</v>
      </c>
      <c r="AC413" s="986">
        <f t="shared" si="99"/>
        <v>108.57142857142858</v>
      </c>
      <c r="AD413" s="986">
        <f t="shared" si="99"/>
        <v>108.57142857142858</v>
      </c>
      <c r="AE413" s="986">
        <f t="shared" si="99"/>
        <v>108.57142857142858</v>
      </c>
      <c r="AF413" s="986">
        <f t="shared" si="99"/>
        <v>110.4761904761905</v>
      </c>
    </row>
    <row r="414" spans="1:32" s="1010" customFormat="1" outlineLevel="4">
      <c r="A414" s="999"/>
      <c r="B414" s="999"/>
      <c r="C414" s="999"/>
      <c r="D414" s="1015">
        <f>+D413+1</f>
        <v>55</v>
      </c>
      <c r="E414" s="1014" t="s">
        <v>1981</v>
      </c>
      <c r="F414" s="1046">
        <f>+'[10]7'!$P$110+'[10]7'!$P$113</f>
        <v>7463.6122400000004</v>
      </c>
      <c r="G414" s="987">
        <v>1.5071707735783994E-3</v>
      </c>
      <c r="H414" s="986">
        <f>IF(H72=0,100,H72/H72*100)</f>
        <v>100</v>
      </c>
      <c r="I414" s="986">
        <f t="shared" ref="I414:AF414" si="100">IF(I72=0,100,I72/H72*H414)</f>
        <v>100</v>
      </c>
      <c r="J414" s="986">
        <f t="shared" si="100"/>
        <v>100</v>
      </c>
      <c r="K414" s="986">
        <f t="shared" si="100"/>
        <v>100</v>
      </c>
      <c r="L414" s="986">
        <f t="shared" si="100"/>
        <v>100</v>
      </c>
      <c r="M414" s="986">
        <f t="shared" si="100"/>
        <v>100</v>
      </c>
      <c r="N414" s="986">
        <f t="shared" si="100"/>
        <v>100</v>
      </c>
      <c r="O414" s="986">
        <f t="shared" si="100"/>
        <v>100</v>
      </c>
      <c r="P414" s="986">
        <f t="shared" si="100"/>
        <v>96.813495782567955</v>
      </c>
      <c r="Q414" s="986">
        <f t="shared" si="100"/>
        <v>96.813495782567955</v>
      </c>
      <c r="R414" s="986">
        <f t="shared" si="100"/>
        <v>96.813495782567955</v>
      </c>
      <c r="S414" s="986">
        <f t="shared" si="100"/>
        <v>96.813495782567955</v>
      </c>
      <c r="T414" s="986">
        <f t="shared" si="100"/>
        <v>100.00000000000001</v>
      </c>
      <c r="U414" s="986">
        <f t="shared" si="100"/>
        <v>103.09278350515464</v>
      </c>
      <c r="V414" s="986">
        <f t="shared" si="100"/>
        <v>103.09278350515464</v>
      </c>
      <c r="W414" s="986">
        <f t="shared" si="100"/>
        <v>103.09278350515464</v>
      </c>
      <c r="X414" s="986">
        <f t="shared" si="100"/>
        <v>103.09278350515464</v>
      </c>
      <c r="Y414" s="986">
        <f t="shared" si="100"/>
        <v>103.09278350515464</v>
      </c>
      <c r="Z414" s="986">
        <f t="shared" si="100"/>
        <v>93.720712277413313</v>
      </c>
      <c r="AA414" s="986">
        <f t="shared" si="100"/>
        <v>93.720712277413313</v>
      </c>
      <c r="AB414" s="986">
        <f t="shared" si="100"/>
        <v>93.720712277413313</v>
      </c>
      <c r="AC414" s="986">
        <f t="shared" si="100"/>
        <v>93.720712277413313</v>
      </c>
      <c r="AD414" s="986">
        <f t="shared" si="100"/>
        <v>93.720712277413313</v>
      </c>
      <c r="AE414" s="986">
        <f t="shared" si="100"/>
        <v>96.844736019993746</v>
      </c>
      <c r="AF414" s="986">
        <f t="shared" si="100"/>
        <v>96.844736019993746</v>
      </c>
    </row>
    <row r="415" spans="1:32" s="1010" customFormat="1" outlineLevel="4">
      <c r="A415" s="999"/>
      <c r="B415" s="999"/>
      <c r="C415" s="999"/>
      <c r="D415" s="1015">
        <f>+D414+1</f>
        <v>56</v>
      </c>
      <c r="E415" s="1045" t="s">
        <v>1980</v>
      </c>
      <c r="F415" s="1046">
        <f>+'[10]7'!$P$111+'[10]7'!$P$112+500</f>
        <v>1113.2578779999999</v>
      </c>
      <c r="G415" s="987">
        <v>2.2480665972774425E-4</v>
      </c>
      <c r="H415" s="986">
        <f>IF(H73=0,100,H73/H73*100)</f>
        <v>100</v>
      </c>
      <c r="I415" s="986">
        <f t="shared" ref="I415:AF415" si="101">IF(I73=0,100,I73/H73*H415)</f>
        <v>100</v>
      </c>
      <c r="J415" s="986">
        <f t="shared" si="101"/>
        <v>127.64227642276423</v>
      </c>
      <c r="K415" s="986">
        <f t="shared" si="101"/>
        <v>124.39024390243902</v>
      </c>
      <c r="L415" s="986">
        <f t="shared" si="101"/>
        <v>124.39024390243902</v>
      </c>
      <c r="M415" s="986">
        <f t="shared" si="101"/>
        <v>124.39024390243902</v>
      </c>
      <c r="N415" s="986">
        <f t="shared" si="101"/>
        <v>138.21138211382114</v>
      </c>
      <c r="O415" s="986">
        <f t="shared" si="101"/>
        <v>138.21138211382114</v>
      </c>
      <c r="P415" s="986">
        <f t="shared" si="101"/>
        <v>138.21138211382114</v>
      </c>
      <c r="Q415" s="986">
        <f t="shared" si="101"/>
        <v>138.21138211382114</v>
      </c>
      <c r="R415" s="986">
        <f t="shared" si="101"/>
        <v>138.21138211382114</v>
      </c>
      <c r="S415" s="986">
        <f t="shared" si="101"/>
        <v>138.21138211382114</v>
      </c>
      <c r="T415" s="986">
        <f t="shared" si="101"/>
        <v>138.21138211382114</v>
      </c>
      <c r="U415" s="986">
        <f t="shared" si="101"/>
        <v>162.60162601626018</v>
      </c>
      <c r="V415" s="986">
        <f t="shared" si="101"/>
        <v>178.86178861788622</v>
      </c>
      <c r="W415" s="986">
        <f t="shared" si="101"/>
        <v>203.25203252032526</v>
      </c>
      <c r="X415" s="986">
        <f t="shared" si="101"/>
        <v>186.99186991869925</v>
      </c>
      <c r="Y415" s="986">
        <f t="shared" si="101"/>
        <v>162.60162601626021</v>
      </c>
      <c r="Z415" s="986">
        <f t="shared" si="101"/>
        <v>162.60162601626021</v>
      </c>
      <c r="AA415" s="986">
        <f t="shared" si="101"/>
        <v>162.60162601626021</v>
      </c>
      <c r="AB415" s="986">
        <f t="shared" si="101"/>
        <v>162.60162601626021</v>
      </c>
      <c r="AC415" s="986">
        <f t="shared" si="101"/>
        <v>162.60162601626021</v>
      </c>
      <c r="AD415" s="986">
        <f t="shared" si="101"/>
        <v>162.60162601626021</v>
      </c>
      <c r="AE415" s="986">
        <f t="shared" si="101"/>
        <v>162.60162601626021</v>
      </c>
      <c r="AF415" s="986">
        <f t="shared" si="101"/>
        <v>162.60162601626021</v>
      </c>
    </row>
    <row r="416" spans="1:32" outlineLevel="3">
      <c r="A416" s="999"/>
      <c r="B416" s="999"/>
      <c r="C416" s="1027" t="s">
        <v>1685</v>
      </c>
      <c r="D416" s="1027"/>
      <c r="E416" s="1027"/>
      <c r="F416" s="998">
        <f>SUM(F417:F418)</f>
        <v>24820.743340000001</v>
      </c>
      <c r="G416" s="997">
        <v>5.0121975442468467E-3</v>
      </c>
      <c r="H416" s="996">
        <f t="shared" ref="H416:AF416" si="102">+SUMPRODUCT(H417:H418,$G417:$G418)/$G416</f>
        <v>99.999999999999986</v>
      </c>
      <c r="I416" s="996">
        <f t="shared" si="102"/>
        <v>99.999999999999986</v>
      </c>
      <c r="J416" s="996">
        <f t="shared" si="102"/>
        <v>103.39293084538612</v>
      </c>
      <c r="K416" s="996">
        <f t="shared" si="102"/>
        <v>103.39293084538612</v>
      </c>
      <c r="L416" s="996">
        <f t="shared" si="102"/>
        <v>103.39293084538612</v>
      </c>
      <c r="M416" s="996">
        <f t="shared" si="102"/>
        <v>106.05880508104663</v>
      </c>
      <c r="N416" s="996">
        <f t="shared" si="102"/>
        <v>106.05880508104663</v>
      </c>
      <c r="O416" s="996">
        <f t="shared" si="102"/>
        <v>106.05880508104663</v>
      </c>
      <c r="P416" s="996">
        <f t="shared" si="102"/>
        <v>102.01960169368219</v>
      </c>
      <c r="Q416" s="996">
        <f t="shared" si="102"/>
        <v>102.01960169368219</v>
      </c>
      <c r="R416" s="996">
        <f t="shared" si="102"/>
        <v>102.01960169368219</v>
      </c>
      <c r="S416" s="996">
        <f t="shared" si="102"/>
        <v>102.01960169368219</v>
      </c>
      <c r="T416" s="996">
        <f t="shared" si="102"/>
        <v>102.01960169368219</v>
      </c>
      <c r="U416" s="996">
        <f t="shared" si="102"/>
        <v>106.75339370827795</v>
      </c>
      <c r="V416" s="996">
        <f t="shared" si="102"/>
        <v>107.80580071923441</v>
      </c>
      <c r="W416" s="996">
        <f t="shared" si="102"/>
        <v>117.02182683315054</v>
      </c>
      <c r="X416" s="996">
        <f t="shared" si="102"/>
        <v>126.23785294706666</v>
      </c>
      <c r="Y416" s="996">
        <f t="shared" si="102"/>
        <v>126.23785294706666</v>
      </c>
      <c r="Z416" s="996">
        <f t="shared" si="102"/>
        <v>144.58469284666816</v>
      </c>
      <c r="AA416" s="996">
        <f t="shared" si="102"/>
        <v>146.60429454035039</v>
      </c>
      <c r="AB416" s="996">
        <f t="shared" si="102"/>
        <v>156.78751533699221</v>
      </c>
      <c r="AC416" s="996">
        <f t="shared" si="102"/>
        <v>152.74831194962778</v>
      </c>
      <c r="AD416" s="996">
        <f t="shared" si="102"/>
        <v>152.74831194962778</v>
      </c>
      <c r="AE416" s="996">
        <f t="shared" si="102"/>
        <v>154.79631775272023</v>
      </c>
      <c r="AF416" s="996">
        <f t="shared" si="102"/>
        <v>157.65216423328559</v>
      </c>
    </row>
    <row r="417" spans="1:32" s="1010" customFormat="1" outlineLevel="4">
      <c r="A417" s="999"/>
      <c r="B417" s="999"/>
      <c r="C417" s="999"/>
      <c r="D417" s="1015">
        <f>+D415+1</f>
        <v>57</v>
      </c>
      <c r="E417" s="1045" t="s">
        <v>1979</v>
      </c>
      <c r="F417" s="1046">
        <f>+'[10]7'!$P$115</f>
        <v>12459.174769999998</v>
      </c>
      <c r="G417" s="987">
        <v>2.5159538668972133E-3</v>
      </c>
      <c r="H417" s="986">
        <f>IF(H75=0,100,H75/H75*100)</f>
        <v>100</v>
      </c>
      <c r="I417" s="986">
        <f t="shared" ref="I417:AF417" si="103">IF(I75=0,100,I75/H75*H417)</f>
        <v>100</v>
      </c>
      <c r="J417" s="986">
        <f t="shared" si="103"/>
        <v>100</v>
      </c>
      <c r="K417" s="986">
        <f t="shared" si="103"/>
        <v>100</v>
      </c>
      <c r="L417" s="986">
        <f t="shared" si="103"/>
        <v>100</v>
      </c>
      <c r="M417" s="986">
        <f t="shared" si="103"/>
        <v>100</v>
      </c>
      <c r="N417" s="986">
        <f t="shared" si="103"/>
        <v>100</v>
      </c>
      <c r="O417" s="986">
        <f t="shared" si="103"/>
        <v>100</v>
      </c>
      <c r="P417" s="986">
        <f t="shared" si="103"/>
        <v>100</v>
      </c>
      <c r="Q417" s="986">
        <f t="shared" si="103"/>
        <v>100</v>
      </c>
      <c r="R417" s="986">
        <f t="shared" si="103"/>
        <v>100</v>
      </c>
      <c r="S417" s="986">
        <f t="shared" si="103"/>
        <v>100</v>
      </c>
      <c r="T417" s="986">
        <f t="shared" si="103"/>
        <v>100</v>
      </c>
      <c r="U417" s="986">
        <f t="shared" si="103"/>
        <v>104.0391676866585</v>
      </c>
      <c r="V417" s="986">
        <f t="shared" si="103"/>
        <v>110.15911872705018</v>
      </c>
      <c r="W417" s="986">
        <f t="shared" si="103"/>
        <v>128.51897184822522</v>
      </c>
      <c r="X417" s="986">
        <f t="shared" si="103"/>
        <v>146.87882496940026</v>
      </c>
      <c r="Y417" s="986">
        <f t="shared" si="103"/>
        <v>146.87882496940026</v>
      </c>
      <c r="Z417" s="986">
        <f t="shared" si="103"/>
        <v>171.35862913096699</v>
      </c>
      <c r="AA417" s="986">
        <f t="shared" si="103"/>
        <v>171.35862913096699</v>
      </c>
      <c r="AB417" s="986">
        <f t="shared" si="103"/>
        <v>183.59853121175033</v>
      </c>
      <c r="AC417" s="986">
        <f t="shared" si="103"/>
        <v>183.59853121175033</v>
      </c>
      <c r="AD417" s="986">
        <f t="shared" si="103"/>
        <v>183.59853121175033</v>
      </c>
      <c r="AE417" s="986">
        <f t="shared" si="103"/>
        <v>187.67849857201142</v>
      </c>
      <c r="AF417" s="986">
        <f t="shared" si="103"/>
        <v>191.75846593227254</v>
      </c>
    </row>
    <row r="418" spans="1:32" s="1010" customFormat="1" outlineLevel="4">
      <c r="A418" s="999"/>
      <c r="B418" s="999"/>
      <c r="C418" s="999"/>
      <c r="D418" s="1015">
        <f>+D417+1</f>
        <v>58</v>
      </c>
      <c r="E418" s="1017" t="s">
        <v>1978</v>
      </c>
      <c r="F418" s="1046">
        <f>+'[10]7'!$P$114+SUM('[10]7'!$P$116:$P$117)+'[10]7'!$P$99</f>
        <v>12361.568570000003</v>
      </c>
      <c r="G418" s="987">
        <v>2.496243677349633E-3</v>
      </c>
      <c r="H418" s="986">
        <f>IF(H76=0,100,H76/H76*100)</f>
        <v>100</v>
      </c>
      <c r="I418" s="986">
        <f t="shared" ref="I418:AF418" si="104">IF(I76=0,100,I76/H76*H418)</f>
        <v>100</v>
      </c>
      <c r="J418" s="986">
        <f t="shared" si="104"/>
        <v>106.81265206812651</v>
      </c>
      <c r="K418" s="986">
        <f t="shared" si="104"/>
        <v>106.81265206812651</v>
      </c>
      <c r="L418" s="986">
        <f t="shared" si="104"/>
        <v>106.81265206812651</v>
      </c>
      <c r="M418" s="986">
        <f t="shared" si="104"/>
        <v>112.16545012165449</v>
      </c>
      <c r="N418" s="986">
        <f t="shared" si="104"/>
        <v>112.16545012165449</v>
      </c>
      <c r="O418" s="986">
        <f t="shared" si="104"/>
        <v>112.16545012165449</v>
      </c>
      <c r="P418" s="986">
        <f t="shared" si="104"/>
        <v>104.0551500405515</v>
      </c>
      <c r="Q418" s="986">
        <f t="shared" si="104"/>
        <v>104.0551500405515</v>
      </c>
      <c r="R418" s="986">
        <f t="shared" si="104"/>
        <v>104.0551500405515</v>
      </c>
      <c r="S418" s="986">
        <f t="shared" si="104"/>
        <v>104.0551500405515</v>
      </c>
      <c r="T418" s="986">
        <f t="shared" si="104"/>
        <v>104.0551500405515</v>
      </c>
      <c r="U418" s="986">
        <f t="shared" si="104"/>
        <v>109.48905109489051</v>
      </c>
      <c r="V418" s="986">
        <f t="shared" si="104"/>
        <v>105.433901054339</v>
      </c>
      <c r="W418" s="986">
        <f t="shared" si="104"/>
        <v>105.433901054339</v>
      </c>
      <c r="X418" s="986">
        <f t="shared" si="104"/>
        <v>105.433901054339</v>
      </c>
      <c r="Y418" s="986">
        <f t="shared" si="104"/>
        <v>105.433901054339</v>
      </c>
      <c r="Z418" s="986">
        <f t="shared" si="104"/>
        <v>117.5993511759935</v>
      </c>
      <c r="AA418" s="986">
        <f t="shared" si="104"/>
        <v>121.65450121654501</v>
      </c>
      <c r="AB418" s="986">
        <f t="shared" si="104"/>
        <v>129.76480129764801</v>
      </c>
      <c r="AC418" s="986">
        <f t="shared" si="104"/>
        <v>121.654501216545</v>
      </c>
      <c r="AD418" s="986">
        <f t="shared" si="104"/>
        <v>121.654501216545</v>
      </c>
      <c r="AE418" s="986">
        <f t="shared" si="104"/>
        <v>121.654501216545</v>
      </c>
      <c r="AF418" s="986">
        <f t="shared" si="104"/>
        <v>123.27656123276562</v>
      </c>
    </row>
    <row r="419" spans="1:32" outlineLevel="1">
      <c r="A419" s="1954" t="s">
        <v>1977</v>
      </c>
      <c r="B419" s="1954"/>
      <c r="C419" s="1954"/>
      <c r="D419" s="1954"/>
      <c r="E419" s="1954"/>
      <c r="F419" s="1023">
        <f>+F420+F426</f>
        <v>125800.48935000002</v>
      </c>
      <c r="G419" s="1022">
        <v>2.5403626923975985E-2</v>
      </c>
      <c r="H419" s="1021">
        <f t="shared" ref="H419:AF419" si="105">+($G$420*H420+$G$426*H426)/$G$419</f>
        <v>100</v>
      </c>
      <c r="I419" s="1021">
        <f t="shared" si="105"/>
        <v>100</v>
      </c>
      <c r="J419" s="1021">
        <f t="shared" si="105"/>
        <v>99.996139521730569</v>
      </c>
      <c r="K419" s="1021">
        <f t="shared" si="105"/>
        <v>99.996139521730569</v>
      </c>
      <c r="L419" s="1021">
        <f t="shared" si="105"/>
        <v>100.31417967329499</v>
      </c>
      <c r="M419" s="1021">
        <f t="shared" si="105"/>
        <v>100.31417967329499</v>
      </c>
      <c r="N419" s="1021">
        <f t="shared" si="105"/>
        <v>100.31417967329499</v>
      </c>
      <c r="O419" s="1021">
        <f t="shared" si="105"/>
        <v>100.31417967329499</v>
      </c>
      <c r="P419" s="1021">
        <f t="shared" si="105"/>
        <v>100.31417967329499</v>
      </c>
      <c r="Q419" s="1021">
        <f t="shared" si="105"/>
        <v>100.31417967329499</v>
      </c>
      <c r="R419" s="1021">
        <f t="shared" si="105"/>
        <v>100.31417967329499</v>
      </c>
      <c r="S419" s="1021">
        <f t="shared" si="105"/>
        <v>100.31417967329499</v>
      </c>
      <c r="T419" s="1021">
        <f t="shared" si="105"/>
        <v>100.31417967329499</v>
      </c>
      <c r="U419" s="1021">
        <f t="shared" si="105"/>
        <v>103.31881369914214</v>
      </c>
      <c r="V419" s="1021">
        <f t="shared" si="105"/>
        <v>103.5488539761308</v>
      </c>
      <c r="W419" s="1021">
        <f t="shared" si="105"/>
        <v>103.09482543953949</v>
      </c>
      <c r="X419" s="1021">
        <f t="shared" si="105"/>
        <v>103.09482543953949</v>
      </c>
      <c r="Y419" s="1021">
        <f t="shared" si="105"/>
        <v>102.98283130973817</v>
      </c>
      <c r="Z419" s="1021">
        <f t="shared" si="105"/>
        <v>102.87083717993686</v>
      </c>
      <c r="AA419" s="1021">
        <f t="shared" si="105"/>
        <v>102.87083717993686</v>
      </c>
      <c r="AB419" s="1021">
        <f t="shared" si="105"/>
        <v>102.75884305013554</v>
      </c>
      <c r="AC419" s="1021">
        <f t="shared" si="105"/>
        <v>139.94553076559689</v>
      </c>
      <c r="AD419" s="1021">
        <f t="shared" si="105"/>
        <v>164.33401742591229</v>
      </c>
      <c r="AE419" s="1021">
        <f t="shared" si="105"/>
        <v>168.43504456822006</v>
      </c>
      <c r="AF419" s="1021">
        <f t="shared" si="105"/>
        <v>172.24155708946125</v>
      </c>
    </row>
    <row r="420" spans="1:32" outlineLevel="2">
      <c r="A420" s="999"/>
      <c r="B420" s="1028" t="s">
        <v>1976</v>
      </c>
      <c r="C420" s="1028"/>
      <c r="D420" s="1028"/>
      <c r="E420" s="999"/>
      <c r="F420" s="1020">
        <f>+F421+F424</f>
        <v>63346.724099999999</v>
      </c>
      <c r="G420" s="1019">
        <v>1.2791973657711677E-2</v>
      </c>
      <c r="H420" s="1018">
        <f t="shared" ref="H420:AF420" si="106">+($G$421*H421+$G$424*H424)/$G$420</f>
        <v>100</v>
      </c>
      <c r="I420" s="1018">
        <f t="shared" si="106"/>
        <v>100</v>
      </c>
      <c r="J420" s="1018">
        <f t="shared" si="106"/>
        <v>99.992333462190544</v>
      </c>
      <c r="K420" s="1018">
        <f t="shared" si="106"/>
        <v>99.992333462190544</v>
      </c>
      <c r="L420" s="1018">
        <f t="shared" si="106"/>
        <v>100.62393055372431</v>
      </c>
      <c r="M420" s="1018">
        <f t="shared" si="106"/>
        <v>100.62393055372431</v>
      </c>
      <c r="N420" s="1018">
        <f t="shared" si="106"/>
        <v>100.62393055372431</v>
      </c>
      <c r="O420" s="1018">
        <f t="shared" si="106"/>
        <v>100.62393055372431</v>
      </c>
      <c r="P420" s="1018">
        <f t="shared" si="106"/>
        <v>100.62393055372431</v>
      </c>
      <c r="Q420" s="1018">
        <f t="shared" si="106"/>
        <v>100.62393055372431</v>
      </c>
      <c r="R420" s="1018">
        <f t="shared" si="106"/>
        <v>100.62393055372431</v>
      </c>
      <c r="S420" s="1018">
        <f t="shared" si="106"/>
        <v>100.62393055372431</v>
      </c>
      <c r="T420" s="1018">
        <f t="shared" si="106"/>
        <v>100.62393055372431</v>
      </c>
      <c r="U420" s="1018">
        <f t="shared" si="106"/>
        <v>100.62393055372431</v>
      </c>
      <c r="V420" s="1018">
        <f t="shared" si="106"/>
        <v>100.75737628308286</v>
      </c>
      <c r="W420" s="1018">
        <f t="shared" si="106"/>
        <v>100.17911145586243</v>
      </c>
      <c r="X420" s="1018">
        <f t="shared" si="106"/>
        <v>100.17911145586243</v>
      </c>
      <c r="Y420" s="1018">
        <f t="shared" si="106"/>
        <v>99.956701906931485</v>
      </c>
      <c r="Z420" s="1018">
        <f t="shared" si="106"/>
        <v>99.734292358000559</v>
      </c>
      <c r="AA420" s="1018">
        <f t="shared" si="106"/>
        <v>99.734292358000559</v>
      </c>
      <c r="AB420" s="1018">
        <f t="shared" si="106"/>
        <v>99.511882809069633</v>
      </c>
      <c r="AC420" s="1018">
        <f t="shared" si="106"/>
        <v>131.09173738575791</v>
      </c>
      <c r="AD420" s="1018">
        <f t="shared" si="106"/>
        <v>152.42334618386553</v>
      </c>
      <c r="AE420" s="1018">
        <f t="shared" si="106"/>
        <v>148.63376363466293</v>
      </c>
      <c r="AF420" s="1018">
        <f t="shared" si="106"/>
        <v>147.69825902353227</v>
      </c>
    </row>
    <row r="421" spans="1:32" outlineLevel="3">
      <c r="A421" s="999"/>
      <c r="B421" s="999"/>
      <c r="C421" s="1956" t="s">
        <v>1682</v>
      </c>
      <c r="D421" s="1956"/>
      <c r="E421" s="1956"/>
      <c r="F421" s="998">
        <f>SUM(F422:F423)</f>
        <v>59120.049200000001</v>
      </c>
      <c r="G421" s="997">
        <v>1.1938456530367262E-2</v>
      </c>
      <c r="H421" s="996">
        <f t="shared" ref="H421:AF421" si="107">+SUMPRODUCT(H422:H423,$G422:$G423)/$G421</f>
        <v>100</v>
      </c>
      <c r="I421" s="996">
        <f t="shared" si="107"/>
        <v>100</v>
      </c>
      <c r="J421" s="996">
        <f t="shared" si="107"/>
        <v>100.23009565218555</v>
      </c>
      <c r="K421" s="996">
        <f t="shared" si="107"/>
        <v>100.23009565218555</v>
      </c>
      <c r="L421" s="996">
        <f t="shared" si="107"/>
        <v>100.90684757037832</v>
      </c>
      <c r="M421" s="996">
        <f t="shared" si="107"/>
        <v>100.90684757037832</v>
      </c>
      <c r="N421" s="996">
        <f t="shared" si="107"/>
        <v>100.90684757037832</v>
      </c>
      <c r="O421" s="996">
        <f t="shared" si="107"/>
        <v>100.90684757037832</v>
      </c>
      <c r="P421" s="996">
        <f t="shared" si="107"/>
        <v>100.90684757037832</v>
      </c>
      <c r="Q421" s="996">
        <f t="shared" si="107"/>
        <v>100.90684757037832</v>
      </c>
      <c r="R421" s="996">
        <f t="shared" si="107"/>
        <v>100.90684757037832</v>
      </c>
      <c r="S421" s="996">
        <f t="shared" si="107"/>
        <v>100.90684757037832</v>
      </c>
      <c r="T421" s="996">
        <f t="shared" si="107"/>
        <v>100.90684757037832</v>
      </c>
      <c r="U421" s="996">
        <f t="shared" si="107"/>
        <v>100.90684757037832</v>
      </c>
      <c r="V421" s="996">
        <f t="shared" si="107"/>
        <v>100.90684757037832</v>
      </c>
      <c r="W421" s="996">
        <f t="shared" si="107"/>
        <v>100.90684757037832</v>
      </c>
      <c r="X421" s="996">
        <f t="shared" si="107"/>
        <v>100.90684757037832</v>
      </c>
      <c r="Y421" s="996">
        <f t="shared" si="107"/>
        <v>100.90684757037832</v>
      </c>
      <c r="Z421" s="996">
        <f t="shared" si="107"/>
        <v>100.90684757037832</v>
      </c>
      <c r="AA421" s="996">
        <f t="shared" si="107"/>
        <v>100.90684757037832</v>
      </c>
      <c r="AB421" s="996">
        <f t="shared" si="107"/>
        <v>100.90684757037832</v>
      </c>
      <c r="AC421" s="996">
        <f t="shared" si="107"/>
        <v>134.74444348001762</v>
      </c>
      <c r="AD421" s="996">
        <f t="shared" si="107"/>
        <v>157.60111487031912</v>
      </c>
      <c r="AE421" s="996">
        <f t="shared" si="107"/>
        <v>153.5406033611624</v>
      </c>
      <c r="AF421" s="996">
        <f t="shared" si="107"/>
        <v>152.53821663622762</v>
      </c>
    </row>
    <row r="422" spans="1:32" s="1010" customFormat="1" outlineLevel="4">
      <c r="A422" s="999"/>
      <c r="B422" s="999"/>
      <c r="C422" s="999"/>
      <c r="D422" s="1015">
        <f>+D418+1</f>
        <v>59</v>
      </c>
      <c r="E422" s="1017" t="s">
        <v>1975</v>
      </c>
      <c r="F422" s="1046">
        <f>+'[10]7'!$P$118+'[10]7'!$P$120-20386</f>
        <v>35472.5173</v>
      </c>
      <c r="G422" s="987">
        <v>7.1631724184822001E-3</v>
      </c>
      <c r="H422" s="986">
        <f>IF(H80=0,100,H80/H80*100)</f>
        <v>100</v>
      </c>
      <c r="I422" s="986">
        <f t="shared" ref="I422:AF422" si="108">IF(I80=0,100,I80/H80*H422)</f>
        <v>100</v>
      </c>
      <c r="J422" s="986">
        <f t="shared" si="108"/>
        <v>100.38348748026166</v>
      </c>
      <c r="K422" s="986">
        <f t="shared" si="108"/>
        <v>100.38348748026166</v>
      </c>
      <c r="L422" s="986">
        <f t="shared" si="108"/>
        <v>101.51139183397247</v>
      </c>
      <c r="M422" s="986">
        <f t="shared" si="108"/>
        <v>101.51139183397247</v>
      </c>
      <c r="N422" s="986">
        <f t="shared" si="108"/>
        <v>101.51139183397247</v>
      </c>
      <c r="O422" s="986">
        <f t="shared" si="108"/>
        <v>101.51139183397247</v>
      </c>
      <c r="P422" s="986">
        <f t="shared" si="108"/>
        <v>101.51139183397247</v>
      </c>
      <c r="Q422" s="986">
        <f t="shared" si="108"/>
        <v>101.51139183397247</v>
      </c>
      <c r="R422" s="986">
        <f t="shared" si="108"/>
        <v>101.51139183397247</v>
      </c>
      <c r="S422" s="986">
        <f t="shared" si="108"/>
        <v>101.51139183397247</v>
      </c>
      <c r="T422" s="986">
        <f t="shared" si="108"/>
        <v>101.51139183397247</v>
      </c>
      <c r="U422" s="986">
        <f t="shared" si="108"/>
        <v>101.51139183397247</v>
      </c>
      <c r="V422" s="986">
        <f t="shared" si="108"/>
        <v>101.51139183397247</v>
      </c>
      <c r="W422" s="986">
        <f t="shared" si="108"/>
        <v>101.51139183397247</v>
      </c>
      <c r="X422" s="986">
        <f t="shared" si="108"/>
        <v>101.51139183397247</v>
      </c>
      <c r="Y422" s="986">
        <f t="shared" si="108"/>
        <v>101.51139183397247</v>
      </c>
      <c r="Z422" s="986">
        <f t="shared" si="108"/>
        <v>101.51139183397247</v>
      </c>
      <c r="AA422" s="986">
        <f t="shared" si="108"/>
        <v>101.51139183397247</v>
      </c>
      <c r="AB422" s="986">
        <f t="shared" si="108"/>
        <v>101.51139183397247</v>
      </c>
      <c r="AC422" s="986">
        <f t="shared" si="108"/>
        <v>157.90660951951273</v>
      </c>
      <c r="AD422" s="986">
        <f t="shared" si="108"/>
        <v>157.90660951951273</v>
      </c>
      <c r="AE422" s="986">
        <f t="shared" si="108"/>
        <v>151.1391833972479</v>
      </c>
      <c r="AF422" s="986">
        <f t="shared" si="108"/>
        <v>152.64305586886229</v>
      </c>
    </row>
    <row r="423" spans="1:32" s="1010" customFormat="1" outlineLevel="4">
      <c r="A423" s="999"/>
      <c r="B423" s="999"/>
      <c r="C423" s="999"/>
      <c r="D423" s="1015">
        <f>+D422+1</f>
        <v>60</v>
      </c>
      <c r="E423" s="1045" t="s">
        <v>1974</v>
      </c>
      <c r="F423" s="1046">
        <f>+SUM('[10]7'!$P$122:$P$123)+20386</f>
        <v>23647.531900000002</v>
      </c>
      <c r="G423" s="987">
        <v>4.7752841118850623E-3</v>
      </c>
      <c r="H423" s="986">
        <f>IF(H81=0,100,H81/H81*100)</f>
        <v>100</v>
      </c>
      <c r="I423" s="986">
        <f t="shared" ref="I423:AF423" si="109">IF(I81=0,100,I81/H81*H423)</f>
        <v>100</v>
      </c>
      <c r="J423" s="986">
        <f t="shared" si="109"/>
        <v>100</v>
      </c>
      <c r="K423" s="986">
        <f t="shared" si="109"/>
        <v>100</v>
      </c>
      <c r="L423" s="986">
        <f t="shared" si="109"/>
        <v>100</v>
      </c>
      <c r="M423" s="986">
        <f t="shared" si="109"/>
        <v>100</v>
      </c>
      <c r="N423" s="986">
        <f t="shared" si="109"/>
        <v>100</v>
      </c>
      <c r="O423" s="986">
        <f t="shared" si="109"/>
        <v>100</v>
      </c>
      <c r="P423" s="986">
        <f t="shared" si="109"/>
        <v>100</v>
      </c>
      <c r="Q423" s="986">
        <f t="shared" si="109"/>
        <v>100</v>
      </c>
      <c r="R423" s="986">
        <f t="shared" si="109"/>
        <v>100</v>
      </c>
      <c r="S423" s="986">
        <f t="shared" si="109"/>
        <v>100</v>
      </c>
      <c r="T423" s="986">
        <f t="shared" si="109"/>
        <v>100</v>
      </c>
      <c r="U423" s="986">
        <f t="shared" si="109"/>
        <v>100</v>
      </c>
      <c r="V423" s="986">
        <f t="shared" si="109"/>
        <v>100</v>
      </c>
      <c r="W423" s="986">
        <f t="shared" si="109"/>
        <v>100</v>
      </c>
      <c r="X423" s="986">
        <f t="shared" si="109"/>
        <v>100</v>
      </c>
      <c r="Y423" s="986">
        <f t="shared" si="109"/>
        <v>100</v>
      </c>
      <c r="Z423" s="986">
        <f t="shared" si="109"/>
        <v>100</v>
      </c>
      <c r="AA423" s="986">
        <f t="shared" si="109"/>
        <v>100</v>
      </c>
      <c r="AB423" s="986">
        <f t="shared" si="109"/>
        <v>100</v>
      </c>
      <c r="AC423" s="986">
        <f t="shared" si="109"/>
        <v>100</v>
      </c>
      <c r="AD423" s="986">
        <f t="shared" si="109"/>
        <v>157.14285714285714</v>
      </c>
      <c r="AE423" s="986">
        <f t="shared" si="109"/>
        <v>157.14285714285714</v>
      </c>
      <c r="AF423" s="986">
        <f t="shared" si="109"/>
        <v>152.38095238095235</v>
      </c>
    </row>
    <row r="424" spans="1:32" outlineLevel="3">
      <c r="A424" s="999"/>
      <c r="B424" s="999"/>
      <c r="C424" s="1956" t="s">
        <v>1681</v>
      </c>
      <c r="D424" s="1956"/>
      <c r="E424" s="1956"/>
      <c r="F424" s="998">
        <f>SUM(F425)</f>
        <v>4226.6749</v>
      </c>
      <c r="G424" s="997">
        <v>8.5351712734441359E-4</v>
      </c>
      <c r="H424" s="996">
        <f t="shared" ref="H424:AF424" si="110">+SUMPRODUCT(H425,$G425)/$G424</f>
        <v>100.00000000000001</v>
      </c>
      <c r="I424" s="996">
        <f t="shared" si="110"/>
        <v>100.00000000000001</v>
      </c>
      <c r="J424" s="996">
        <f t="shared" si="110"/>
        <v>96.666666666666671</v>
      </c>
      <c r="K424" s="996">
        <f t="shared" si="110"/>
        <v>96.666666666666671</v>
      </c>
      <c r="L424" s="996">
        <f t="shared" si="110"/>
        <v>96.666666666666671</v>
      </c>
      <c r="M424" s="996">
        <f t="shared" si="110"/>
        <v>96.666666666666671</v>
      </c>
      <c r="N424" s="996">
        <f t="shared" si="110"/>
        <v>96.666666666666671</v>
      </c>
      <c r="O424" s="996">
        <f t="shared" si="110"/>
        <v>96.666666666666671</v>
      </c>
      <c r="P424" s="996">
        <f t="shared" si="110"/>
        <v>96.666666666666671</v>
      </c>
      <c r="Q424" s="996">
        <f t="shared" si="110"/>
        <v>96.666666666666671</v>
      </c>
      <c r="R424" s="996">
        <f t="shared" si="110"/>
        <v>96.666666666666671</v>
      </c>
      <c r="S424" s="996">
        <f t="shared" si="110"/>
        <v>96.666666666666671</v>
      </c>
      <c r="T424" s="996">
        <f t="shared" si="110"/>
        <v>96.666666666666671</v>
      </c>
      <c r="U424" s="996">
        <f t="shared" si="110"/>
        <v>96.666666666666671</v>
      </c>
      <c r="V424" s="996">
        <f t="shared" si="110"/>
        <v>98.666666666666671</v>
      </c>
      <c r="W424" s="996">
        <f t="shared" si="110"/>
        <v>90</v>
      </c>
      <c r="X424" s="996">
        <f t="shared" si="110"/>
        <v>90</v>
      </c>
      <c r="Y424" s="996">
        <f t="shared" si="110"/>
        <v>86.666666666666657</v>
      </c>
      <c r="Z424" s="996">
        <f t="shared" si="110"/>
        <v>83.333333333333329</v>
      </c>
      <c r="AA424" s="996">
        <f t="shared" si="110"/>
        <v>83.333333333333329</v>
      </c>
      <c r="AB424" s="996">
        <f t="shared" si="110"/>
        <v>79.999999999999986</v>
      </c>
      <c r="AC424" s="996">
        <f t="shared" si="110"/>
        <v>79.999999999999986</v>
      </c>
      <c r="AD424" s="996">
        <f t="shared" si="110"/>
        <v>79.999999999999986</v>
      </c>
      <c r="AE424" s="996">
        <f t="shared" si="110"/>
        <v>79.999999999999986</v>
      </c>
      <c r="AF424" s="996">
        <f t="shared" si="110"/>
        <v>79.999999999999986</v>
      </c>
    </row>
    <row r="425" spans="1:32" s="1010" customFormat="1" outlineLevel="4">
      <c r="A425" s="999"/>
      <c r="B425" s="999"/>
      <c r="C425" s="999"/>
      <c r="D425" s="1015">
        <f>+D423+1</f>
        <v>61</v>
      </c>
      <c r="E425" s="1017" t="s">
        <v>1973</v>
      </c>
      <c r="F425" s="1046">
        <f>'[10]7'!$P$119+'[10]7'!$P$121</f>
        <v>4226.6749</v>
      </c>
      <c r="G425" s="987">
        <v>8.5351712734441359E-4</v>
      </c>
      <c r="H425" s="986">
        <f>IF(H83=0,100,H83/H83*100)</f>
        <v>100</v>
      </c>
      <c r="I425" s="986">
        <f t="shared" ref="I425:AF425" si="111">IF(I83=0,100,I83/H83*H425)</f>
        <v>100</v>
      </c>
      <c r="J425" s="986">
        <f t="shared" si="111"/>
        <v>96.666666666666671</v>
      </c>
      <c r="K425" s="986">
        <f t="shared" si="111"/>
        <v>96.666666666666671</v>
      </c>
      <c r="L425" s="986">
        <f t="shared" si="111"/>
        <v>96.666666666666671</v>
      </c>
      <c r="M425" s="986">
        <f t="shared" si="111"/>
        <v>96.666666666666671</v>
      </c>
      <c r="N425" s="986">
        <f t="shared" si="111"/>
        <v>96.666666666666671</v>
      </c>
      <c r="O425" s="986">
        <f t="shared" si="111"/>
        <v>96.666666666666671</v>
      </c>
      <c r="P425" s="986">
        <f t="shared" si="111"/>
        <v>96.666666666666671</v>
      </c>
      <c r="Q425" s="986">
        <f t="shared" si="111"/>
        <v>96.666666666666671</v>
      </c>
      <c r="R425" s="986">
        <f t="shared" si="111"/>
        <v>96.666666666666671</v>
      </c>
      <c r="S425" s="986">
        <f t="shared" si="111"/>
        <v>96.666666666666671</v>
      </c>
      <c r="T425" s="986">
        <f t="shared" si="111"/>
        <v>96.666666666666671</v>
      </c>
      <c r="U425" s="986">
        <f t="shared" si="111"/>
        <v>96.666666666666671</v>
      </c>
      <c r="V425" s="986">
        <f t="shared" si="111"/>
        <v>98.666666666666671</v>
      </c>
      <c r="W425" s="986">
        <f t="shared" si="111"/>
        <v>90</v>
      </c>
      <c r="X425" s="986">
        <f t="shared" si="111"/>
        <v>90</v>
      </c>
      <c r="Y425" s="986">
        <f t="shared" si="111"/>
        <v>86.666666666666657</v>
      </c>
      <c r="Z425" s="986">
        <f t="shared" si="111"/>
        <v>83.333333333333329</v>
      </c>
      <c r="AA425" s="986">
        <f t="shared" si="111"/>
        <v>83.333333333333329</v>
      </c>
      <c r="AB425" s="986">
        <f t="shared" si="111"/>
        <v>79.999999999999986</v>
      </c>
      <c r="AC425" s="986">
        <f t="shared" si="111"/>
        <v>79.999999999999986</v>
      </c>
      <c r="AD425" s="986">
        <f t="shared" si="111"/>
        <v>79.999999999999986</v>
      </c>
      <c r="AE425" s="986">
        <f t="shared" si="111"/>
        <v>79.999999999999986</v>
      </c>
      <c r="AF425" s="986">
        <f t="shared" si="111"/>
        <v>79.999999999999986</v>
      </c>
    </row>
    <row r="426" spans="1:32" outlineLevel="2">
      <c r="A426" s="999"/>
      <c r="B426" s="1043" t="s">
        <v>1972</v>
      </c>
      <c r="C426" s="999"/>
      <c r="D426" s="1030"/>
      <c r="E426" s="999"/>
      <c r="F426" s="1020">
        <f>+F427</f>
        <v>62453.765250000011</v>
      </c>
      <c r="G426" s="1019">
        <v>1.2611653266264308E-2</v>
      </c>
      <c r="H426" s="1018">
        <f t="shared" ref="H426:AF426" si="112">+$G$427*H427/$G$426</f>
        <v>99.999999999999986</v>
      </c>
      <c r="I426" s="1018">
        <f t="shared" si="112"/>
        <v>99.999999999999986</v>
      </c>
      <c r="J426" s="1018">
        <f t="shared" si="112"/>
        <v>99.999999999999986</v>
      </c>
      <c r="K426" s="1018">
        <f t="shared" si="112"/>
        <v>99.999999999999986</v>
      </c>
      <c r="L426" s="1018">
        <f t="shared" si="112"/>
        <v>99.999999999999986</v>
      </c>
      <c r="M426" s="1018">
        <f t="shared" si="112"/>
        <v>99.999999999999986</v>
      </c>
      <c r="N426" s="1018">
        <f t="shared" si="112"/>
        <v>99.999999999999986</v>
      </c>
      <c r="O426" s="1018">
        <f t="shared" si="112"/>
        <v>99.999999999999986</v>
      </c>
      <c r="P426" s="1018">
        <f t="shared" si="112"/>
        <v>99.999999999999986</v>
      </c>
      <c r="Q426" s="1018">
        <f t="shared" si="112"/>
        <v>99.999999999999986</v>
      </c>
      <c r="R426" s="1018">
        <f t="shared" si="112"/>
        <v>99.999999999999986</v>
      </c>
      <c r="S426" s="1018">
        <f t="shared" si="112"/>
        <v>99.999999999999986</v>
      </c>
      <c r="T426" s="1018">
        <f t="shared" si="112"/>
        <v>99.999999999999986</v>
      </c>
      <c r="U426" s="1018">
        <f t="shared" si="112"/>
        <v>106.05222806433164</v>
      </c>
      <c r="V426" s="1018">
        <f t="shared" si="112"/>
        <v>106.38024398992685</v>
      </c>
      <c r="W426" s="1018">
        <f t="shared" si="112"/>
        <v>106.05222806433164</v>
      </c>
      <c r="X426" s="1018">
        <f t="shared" si="112"/>
        <v>106.05222806433164</v>
      </c>
      <c r="Y426" s="1018">
        <f t="shared" si="112"/>
        <v>106.05222806433164</v>
      </c>
      <c r="Z426" s="1018">
        <f t="shared" si="112"/>
        <v>106.05222806433164</v>
      </c>
      <c r="AA426" s="1018">
        <f t="shared" si="112"/>
        <v>106.05222806433164</v>
      </c>
      <c r="AB426" s="1018">
        <f t="shared" si="112"/>
        <v>106.05222806433164</v>
      </c>
      <c r="AC426" s="1018">
        <f t="shared" si="112"/>
        <v>148.9259149622257</v>
      </c>
      <c r="AD426" s="1018">
        <f t="shared" si="112"/>
        <v>176.41498647550441</v>
      </c>
      <c r="AE426" s="1018">
        <f t="shared" si="112"/>
        <v>188.51944260416766</v>
      </c>
      <c r="AF426" s="1018">
        <f t="shared" si="112"/>
        <v>197.13577323260191</v>
      </c>
    </row>
    <row r="427" spans="1:32" outlineLevel="3">
      <c r="A427" s="999"/>
      <c r="B427" s="999"/>
      <c r="C427" s="1027" t="s">
        <v>1971</v>
      </c>
      <c r="D427" s="1027"/>
      <c r="E427" s="999"/>
      <c r="F427" s="998">
        <f>SUM(F428:F429)</f>
        <v>62453.765250000011</v>
      </c>
      <c r="G427" s="997">
        <v>1.2611653266264308E-2</v>
      </c>
      <c r="H427" s="996">
        <f t="shared" ref="H427:AF427" si="113">+SUMPRODUCT(H428:H429,$G428:$G429)/$G427</f>
        <v>99.999999999999986</v>
      </c>
      <c r="I427" s="996">
        <f t="shared" si="113"/>
        <v>99.999999999999986</v>
      </c>
      <c r="J427" s="996">
        <f t="shared" si="113"/>
        <v>99.999999999999986</v>
      </c>
      <c r="K427" s="996">
        <f t="shared" si="113"/>
        <v>99.999999999999986</v>
      </c>
      <c r="L427" s="996">
        <f t="shared" si="113"/>
        <v>99.999999999999986</v>
      </c>
      <c r="M427" s="996">
        <f t="shared" si="113"/>
        <v>99.999999999999986</v>
      </c>
      <c r="N427" s="996">
        <f t="shared" si="113"/>
        <v>99.999999999999986</v>
      </c>
      <c r="O427" s="996">
        <f t="shared" si="113"/>
        <v>99.999999999999986</v>
      </c>
      <c r="P427" s="996">
        <f t="shared" si="113"/>
        <v>99.999999999999986</v>
      </c>
      <c r="Q427" s="996">
        <f t="shared" si="113"/>
        <v>99.999999999999986</v>
      </c>
      <c r="R427" s="996">
        <f t="shared" si="113"/>
        <v>99.999999999999986</v>
      </c>
      <c r="S427" s="996">
        <f t="shared" si="113"/>
        <v>99.999999999999986</v>
      </c>
      <c r="T427" s="996">
        <f t="shared" si="113"/>
        <v>99.999999999999986</v>
      </c>
      <c r="U427" s="996">
        <f t="shared" si="113"/>
        <v>106.05222806433164</v>
      </c>
      <c r="V427" s="996">
        <f t="shared" si="113"/>
        <v>106.38024398992685</v>
      </c>
      <c r="W427" s="996">
        <f t="shared" si="113"/>
        <v>106.05222806433164</v>
      </c>
      <c r="X427" s="996">
        <f t="shared" si="113"/>
        <v>106.05222806433164</v>
      </c>
      <c r="Y427" s="996">
        <f t="shared" si="113"/>
        <v>106.05222806433164</v>
      </c>
      <c r="Z427" s="996">
        <f t="shared" si="113"/>
        <v>106.05222806433164</v>
      </c>
      <c r="AA427" s="996">
        <f t="shared" si="113"/>
        <v>106.05222806433164</v>
      </c>
      <c r="AB427" s="996">
        <f t="shared" si="113"/>
        <v>106.05222806433164</v>
      </c>
      <c r="AC427" s="996">
        <f t="shared" si="113"/>
        <v>148.9259149622257</v>
      </c>
      <c r="AD427" s="996">
        <f t="shared" si="113"/>
        <v>176.41498647550441</v>
      </c>
      <c r="AE427" s="996">
        <f t="shared" si="113"/>
        <v>188.51944260416766</v>
      </c>
      <c r="AF427" s="996">
        <f t="shared" si="113"/>
        <v>197.13577323260191</v>
      </c>
    </row>
    <row r="428" spans="1:32" s="1010" customFormat="1" outlineLevel="4">
      <c r="A428" s="999"/>
      <c r="B428" s="999"/>
      <c r="C428" s="999"/>
      <c r="D428" s="1015">
        <f>+D425+1</f>
        <v>62</v>
      </c>
      <c r="E428" s="1014" t="s">
        <v>1970</v>
      </c>
      <c r="F428" s="1046">
        <f>+'[10]7'!$P$124+'[10]7'!$P$126</f>
        <v>13315.789250000002</v>
      </c>
      <c r="G428" s="987">
        <v>2.6889350276226884E-3</v>
      </c>
      <c r="H428" s="986">
        <f>IF(H86=0,100,H86/H86*100)</f>
        <v>100</v>
      </c>
      <c r="I428" s="986">
        <f t="shared" ref="I428:AF428" si="114">IF(I86=0,100,I86/H86*H428)</f>
        <v>100</v>
      </c>
      <c r="J428" s="986">
        <f t="shared" si="114"/>
        <v>100</v>
      </c>
      <c r="K428" s="986">
        <f t="shared" si="114"/>
        <v>100</v>
      </c>
      <c r="L428" s="986">
        <f t="shared" si="114"/>
        <v>100</v>
      </c>
      <c r="M428" s="986">
        <f t="shared" si="114"/>
        <v>100</v>
      </c>
      <c r="N428" s="986">
        <f t="shared" si="114"/>
        <v>100</v>
      </c>
      <c r="O428" s="986">
        <f t="shared" si="114"/>
        <v>100</v>
      </c>
      <c r="P428" s="986">
        <f t="shared" si="114"/>
        <v>100</v>
      </c>
      <c r="Q428" s="986">
        <f t="shared" si="114"/>
        <v>100</v>
      </c>
      <c r="R428" s="986">
        <f t="shared" si="114"/>
        <v>100</v>
      </c>
      <c r="S428" s="986">
        <f t="shared" si="114"/>
        <v>100</v>
      </c>
      <c r="T428" s="986">
        <f t="shared" si="114"/>
        <v>100</v>
      </c>
      <c r="U428" s="986">
        <f t="shared" si="114"/>
        <v>100</v>
      </c>
      <c r="V428" s="986">
        <f t="shared" si="114"/>
        <v>101.53846153846153</v>
      </c>
      <c r="W428" s="986">
        <f t="shared" si="114"/>
        <v>100</v>
      </c>
      <c r="X428" s="986">
        <f t="shared" si="114"/>
        <v>100</v>
      </c>
      <c r="Y428" s="986">
        <f t="shared" si="114"/>
        <v>100</v>
      </c>
      <c r="Z428" s="986">
        <f t="shared" si="114"/>
        <v>100</v>
      </c>
      <c r="AA428" s="986">
        <f t="shared" si="114"/>
        <v>100</v>
      </c>
      <c r="AB428" s="986">
        <f t="shared" si="114"/>
        <v>100</v>
      </c>
      <c r="AC428" s="986">
        <f t="shared" si="114"/>
        <v>130.76923076923077</v>
      </c>
      <c r="AD428" s="986">
        <f t="shared" si="114"/>
        <v>146.15384615384616</v>
      </c>
      <c r="AE428" s="986">
        <f t="shared" si="114"/>
        <v>146.15384615384616</v>
      </c>
      <c r="AF428" s="986">
        <f t="shared" si="114"/>
        <v>148.71794871794873</v>
      </c>
    </row>
    <row r="429" spans="1:32" s="1010" customFormat="1" outlineLevel="4">
      <c r="A429" s="999"/>
      <c r="B429" s="999"/>
      <c r="C429" s="999"/>
      <c r="D429" s="1015">
        <f>+D428+1</f>
        <v>63</v>
      </c>
      <c r="E429" s="1017" t="s">
        <v>1969</v>
      </c>
      <c r="F429" s="1046">
        <f>+'[10]7'!$P$125+SUM('[10]7'!$P$127:$P$128)</f>
        <v>49137.97600000001</v>
      </c>
      <c r="G429" s="987">
        <v>9.9227182386416191E-3</v>
      </c>
      <c r="H429" s="986">
        <f>IF(H87=0,100,H87/H87*100)</f>
        <v>100</v>
      </c>
      <c r="I429" s="986">
        <f t="shared" ref="I429:AF429" si="115">IF(I87=0,100,I87/H87*H429)</f>
        <v>100</v>
      </c>
      <c r="J429" s="986">
        <f t="shared" si="115"/>
        <v>100</v>
      </c>
      <c r="K429" s="986">
        <f t="shared" si="115"/>
        <v>100</v>
      </c>
      <c r="L429" s="986">
        <f t="shared" si="115"/>
        <v>100</v>
      </c>
      <c r="M429" s="986">
        <f t="shared" si="115"/>
        <v>100</v>
      </c>
      <c r="N429" s="986">
        <f t="shared" si="115"/>
        <v>100</v>
      </c>
      <c r="O429" s="986">
        <f t="shared" si="115"/>
        <v>100</v>
      </c>
      <c r="P429" s="986">
        <f t="shared" si="115"/>
        <v>100</v>
      </c>
      <c r="Q429" s="986">
        <f t="shared" si="115"/>
        <v>100</v>
      </c>
      <c r="R429" s="986">
        <f t="shared" si="115"/>
        <v>100</v>
      </c>
      <c r="S429" s="986">
        <f t="shared" si="115"/>
        <v>100</v>
      </c>
      <c r="T429" s="986">
        <f t="shared" si="115"/>
        <v>100</v>
      </c>
      <c r="U429" s="986">
        <f t="shared" si="115"/>
        <v>107.69230769230769</v>
      </c>
      <c r="V429" s="986">
        <f t="shared" si="115"/>
        <v>107.69230769230769</v>
      </c>
      <c r="W429" s="986">
        <f t="shared" si="115"/>
        <v>107.69230769230769</v>
      </c>
      <c r="X429" s="986">
        <f t="shared" si="115"/>
        <v>107.69230769230769</v>
      </c>
      <c r="Y429" s="986">
        <f t="shared" si="115"/>
        <v>107.69230769230769</v>
      </c>
      <c r="Z429" s="986">
        <f t="shared" si="115"/>
        <v>107.69230769230769</v>
      </c>
      <c r="AA429" s="986">
        <f t="shared" si="115"/>
        <v>107.69230769230769</v>
      </c>
      <c r="AB429" s="986">
        <f t="shared" si="115"/>
        <v>107.69230769230769</v>
      </c>
      <c r="AC429" s="986">
        <f t="shared" si="115"/>
        <v>153.84615384615384</v>
      </c>
      <c r="AD429" s="986">
        <f t="shared" si="115"/>
        <v>184.61538461538461</v>
      </c>
      <c r="AE429" s="986">
        <f t="shared" si="115"/>
        <v>199.99999999999997</v>
      </c>
      <c r="AF429" s="986">
        <f t="shared" si="115"/>
        <v>210.25641025641025</v>
      </c>
    </row>
    <row r="430" spans="1:32" outlineLevel="1">
      <c r="A430" s="1025" t="s">
        <v>1968</v>
      </c>
      <c r="B430" s="1025"/>
      <c r="C430" s="1025"/>
      <c r="D430" s="1025"/>
      <c r="E430" s="999"/>
      <c r="F430" s="1023">
        <f>+F431+F472</f>
        <v>941155.95635999995</v>
      </c>
      <c r="G430" s="1022">
        <v>0.19005311438915529</v>
      </c>
      <c r="H430" s="1021">
        <f t="shared" ref="H430:AF430" si="116">+($G$431*H431+$G$472*H472)/$G$430</f>
        <v>99.999999999999986</v>
      </c>
      <c r="I430" s="1021">
        <f t="shared" si="116"/>
        <v>100.61073124538149</v>
      </c>
      <c r="J430" s="1021">
        <f t="shared" si="116"/>
        <v>99.611845047007876</v>
      </c>
      <c r="K430" s="1021">
        <f t="shared" si="116"/>
        <v>99.47280522246902</v>
      </c>
      <c r="L430" s="1021">
        <f t="shared" si="116"/>
        <v>99.822571449357028</v>
      </c>
      <c r="M430" s="1021">
        <f t="shared" si="116"/>
        <v>99.872057555206624</v>
      </c>
      <c r="N430" s="1021">
        <f t="shared" si="116"/>
        <v>99.936834817765018</v>
      </c>
      <c r="O430" s="1021">
        <f t="shared" si="116"/>
        <v>99.95830940635112</v>
      </c>
      <c r="P430" s="1021">
        <f t="shared" si="116"/>
        <v>100.01884700461537</v>
      </c>
      <c r="Q430" s="1021">
        <f t="shared" si="116"/>
        <v>101.31131392387543</v>
      </c>
      <c r="R430" s="1021">
        <f t="shared" si="116"/>
        <v>103.40263847478285</v>
      </c>
      <c r="S430" s="1021">
        <f t="shared" si="116"/>
        <v>105.36097459277444</v>
      </c>
      <c r="T430" s="1021">
        <f t="shared" si="116"/>
        <v>105.56013113002352</v>
      </c>
      <c r="U430" s="1021">
        <f t="shared" si="116"/>
        <v>108.07079169893483</v>
      </c>
      <c r="V430" s="1021">
        <f t="shared" si="116"/>
        <v>109.68478493189001</v>
      </c>
      <c r="W430" s="1021">
        <f t="shared" si="116"/>
        <v>114.23598224322603</v>
      </c>
      <c r="X430" s="1021">
        <f t="shared" si="116"/>
        <v>120.10920569546263</v>
      </c>
      <c r="Y430" s="1021">
        <f t="shared" si="116"/>
        <v>121.71308483064938</v>
      </c>
      <c r="Z430" s="1021">
        <f t="shared" si="116"/>
        <v>122.8027714395562</v>
      </c>
      <c r="AA430" s="1021">
        <f t="shared" si="116"/>
        <v>123.22118065595872</v>
      </c>
      <c r="AB430" s="1021">
        <f t="shared" si="116"/>
        <v>124.38938279954036</v>
      </c>
      <c r="AC430" s="1021">
        <f t="shared" si="116"/>
        <v>126.25159661551649</v>
      </c>
      <c r="AD430" s="1021">
        <f t="shared" si="116"/>
        <v>127.67879534380492</v>
      </c>
      <c r="AE430" s="1021">
        <f t="shared" si="116"/>
        <v>131.31859168300758</v>
      </c>
      <c r="AF430" s="1021">
        <f t="shared" si="116"/>
        <v>133.7228616950371</v>
      </c>
    </row>
    <row r="431" spans="1:32" outlineLevel="2">
      <c r="A431" s="999"/>
      <c r="B431" s="1028" t="s">
        <v>1967</v>
      </c>
      <c r="C431" s="1028"/>
      <c r="D431" s="1028"/>
      <c r="E431" s="999"/>
      <c r="F431" s="1020">
        <f>+F432+F437+F468</f>
        <v>668705.27627399995</v>
      </c>
      <c r="G431" s="1019">
        <v>0.13503555867176747</v>
      </c>
      <c r="H431" s="1018">
        <f t="shared" ref="H431:AF431" si="117">+($G$432*H432+$G$437*H437+$G$468*H468)/$G$431</f>
        <v>100</v>
      </c>
      <c r="I431" s="1018">
        <f t="shared" si="117"/>
        <v>100.85956155831261</v>
      </c>
      <c r="J431" s="1018">
        <f t="shared" si="117"/>
        <v>99.438283105839403</v>
      </c>
      <c r="K431" s="1018">
        <f t="shared" si="117"/>
        <v>99.242594267005757</v>
      </c>
      <c r="L431" s="1018">
        <f t="shared" si="117"/>
        <v>99.285208478049526</v>
      </c>
      <c r="M431" s="1018">
        <f t="shared" si="117"/>
        <v>99.354856714619345</v>
      </c>
      <c r="N431" s="1018">
        <f t="shared" si="117"/>
        <v>99.446026185919479</v>
      </c>
      <c r="O431" s="1018">
        <f t="shared" si="117"/>
        <v>99.446026185919479</v>
      </c>
      <c r="P431" s="1018">
        <f t="shared" si="117"/>
        <v>99.531228625935483</v>
      </c>
      <c r="Q431" s="1018">
        <f t="shared" si="117"/>
        <v>100.76663310380233</v>
      </c>
      <c r="R431" s="1018">
        <f t="shared" si="117"/>
        <v>102.75290294634171</v>
      </c>
      <c r="S431" s="1018">
        <f t="shared" si="117"/>
        <v>104.84694403567619</v>
      </c>
      <c r="T431" s="1018">
        <f t="shared" si="117"/>
        <v>105.12724294751429</v>
      </c>
      <c r="U431" s="1018">
        <f t="shared" si="117"/>
        <v>108.14956616334366</v>
      </c>
      <c r="V431" s="1018">
        <f t="shared" si="117"/>
        <v>111.51641614047931</v>
      </c>
      <c r="W431" s="1018">
        <f t="shared" si="117"/>
        <v>115.57054761500538</v>
      </c>
      <c r="X431" s="1018">
        <f t="shared" si="117"/>
        <v>119.72076297315047</v>
      </c>
      <c r="Y431" s="1018">
        <f t="shared" si="117"/>
        <v>121.97811079874771</v>
      </c>
      <c r="Z431" s="1018">
        <f t="shared" si="117"/>
        <v>123.51176856836003</v>
      </c>
      <c r="AA431" s="1018">
        <f t="shared" si="117"/>
        <v>124.10065030772262</v>
      </c>
      <c r="AB431" s="1018">
        <f t="shared" si="117"/>
        <v>125.12752313757653</v>
      </c>
      <c r="AC431" s="1018">
        <f t="shared" si="117"/>
        <v>127.79377229545092</v>
      </c>
      <c r="AD431" s="1018">
        <f t="shared" si="117"/>
        <v>129.50409144306894</v>
      </c>
      <c r="AE431" s="1018">
        <f t="shared" si="117"/>
        <v>132.92345971899567</v>
      </c>
      <c r="AF431" s="1018">
        <f t="shared" si="117"/>
        <v>135.74322984106158</v>
      </c>
    </row>
    <row r="432" spans="1:32" outlineLevel="3">
      <c r="A432" s="999"/>
      <c r="B432" s="999"/>
      <c r="C432" s="1956" t="s">
        <v>1966</v>
      </c>
      <c r="D432" s="1956"/>
      <c r="E432" s="1956"/>
      <c r="F432" s="998">
        <f>SUM(F433:F436)</f>
        <v>36567.728061000002</v>
      </c>
      <c r="G432" s="997">
        <v>7.3843347185600719E-3</v>
      </c>
      <c r="H432" s="996">
        <f t="shared" ref="H432:AF432" si="118">+SUMPRODUCT(H433:H436,$G433:$G436)/$G432</f>
        <v>100</v>
      </c>
      <c r="I432" s="996">
        <f t="shared" si="118"/>
        <v>103.48525817584665</v>
      </c>
      <c r="J432" s="996">
        <f t="shared" si="118"/>
        <v>100.26105741343207</v>
      </c>
      <c r="K432" s="996">
        <f t="shared" si="118"/>
        <v>100.26105741343207</v>
      </c>
      <c r="L432" s="996">
        <f t="shared" si="118"/>
        <v>101.04033327442335</v>
      </c>
      <c r="M432" s="996">
        <f t="shared" si="118"/>
        <v>101.04033327442335</v>
      </c>
      <c r="N432" s="996">
        <f t="shared" si="118"/>
        <v>101.04033327442335</v>
      </c>
      <c r="O432" s="996">
        <f t="shared" si="118"/>
        <v>101.04033327442335</v>
      </c>
      <c r="P432" s="996">
        <f t="shared" si="118"/>
        <v>102.59840986849252</v>
      </c>
      <c r="Q432" s="996">
        <f t="shared" si="118"/>
        <v>102.59840986849252</v>
      </c>
      <c r="R432" s="996">
        <f t="shared" si="118"/>
        <v>102.59840986849252</v>
      </c>
      <c r="S432" s="996">
        <f t="shared" si="118"/>
        <v>102.59840986849252</v>
      </c>
      <c r="T432" s="996">
        <f t="shared" si="118"/>
        <v>102.59840986849252</v>
      </c>
      <c r="U432" s="996">
        <f t="shared" si="118"/>
        <v>104.51015085916842</v>
      </c>
      <c r="V432" s="996">
        <f t="shared" si="118"/>
        <v>109.65814928264983</v>
      </c>
      <c r="W432" s="996">
        <f t="shared" si="118"/>
        <v>112.86325708840592</v>
      </c>
      <c r="X432" s="996">
        <f t="shared" si="118"/>
        <v>116.06836489416199</v>
      </c>
      <c r="Y432" s="996">
        <f t="shared" si="118"/>
        <v>116.06836489416199</v>
      </c>
      <c r="Z432" s="996">
        <f t="shared" si="118"/>
        <v>117.23546346649846</v>
      </c>
      <c r="AA432" s="996">
        <f t="shared" si="118"/>
        <v>119.2877448937078</v>
      </c>
      <c r="AB432" s="996">
        <f t="shared" si="118"/>
        <v>119.67738282420343</v>
      </c>
      <c r="AC432" s="996">
        <f t="shared" si="118"/>
        <v>119.67738282420343</v>
      </c>
      <c r="AD432" s="996">
        <f t="shared" si="118"/>
        <v>122.29678610073859</v>
      </c>
      <c r="AE432" s="996">
        <f t="shared" si="118"/>
        <v>124.72975414239826</v>
      </c>
      <c r="AF432" s="996">
        <f t="shared" si="118"/>
        <v>124.72975414239826</v>
      </c>
    </row>
    <row r="433" spans="1:32" s="1010" customFormat="1" outlineLevel="4">
      <c r="A433" s="999"/>
      <c r="B433" s="999"/>
      <c r="C433" s="999"/>
      <c r="D433" s="1015">
        <f>+D429+1</f>
        <v>64</v>
      </c>
      <c r="E433" s="1017" t="s">
        <v>1965</v>
      </c>
      <c r="F433" s="988">
        <f>+'[11]7'!$P$83+'[11]7'!$P$84+'[11]7'!$P$85</f>
        <v>3704.5252100000002</v>
      </c>
      <c r="G433" s="987">
        <v>7.480763934349814E-4</v>
      </c>
      <c r="H433" s="986">
        <f>IF(H91=0,100,H91/H91*100)</f>
        <v>100</v>
      </c>
      <c r="I433" s="986">
        <f t="shared" ref="I433:AF433" si="119">IF(I91=0,100,I91/H91*H433)</f>
        <v>103.84615384615385</v>
      </c>
      <c r="J433" s="986">
        <f t="shared" si="119"/>
        <v>102.57692307692308</v>
      </c>
      <c r="K433" s="986">
        <f t="shared" si="119"/>
        <v>102.57692307692308</v>
      </c>
      <c r="L433" s="986">
        <f t="shared" si="119"/>
        <v>110.26923076923077</v>
      </c>
      <c r="M433" s="986">
        <f t="shared" si="119"/>
        <v>110.26923076923077</v>
      </c>
      <c r="N433" s="986">
        <f t="shared" si="119"/>
        <v>110.26923076923077</v>
      </c>
      <c r="O433" s="986">
        <f t="shared" si="119"/>
        <v>110.26923076923077</v>
      </c>
      <c r="P433" s="986">
        <f t="shared" si="119"/>
        <v>110.26923076923077</v>
      </c>
      <c r="Q433" s="986">
        <f t="shared" si="119"/>
        <v>110.26923076923077</v>
      </c>
      <c r="R433" s="986">
        <f t="shared" si="119"/>
        <v>110.26923076923077</v>
      </c>
      <c r="S433" s="986">
        <f t="shared" si="119"/>
        <v>110.26923076923077</v>
      </c>
      <c r="T433" s="986">
        <f t="shared" si="119"/>
        <v>110.26923076923077</v>
      </c>
      <c r="U433" s="986">
        <f t="shared" si="119"/>
        <v>115.38461538461539</v>
      </c>
      <c r="V433" s="986">
        <f t="shared" si="119"/>
        <v>115.38461538461539</v>
      </c>
      <c r="W433" s="986">
        <f t="shared" si="119"/>
        <v>134.61538461538461</v>
      </c>
      <c r="X433" s="986">
        <f t="shared" si="119"/>
        <v>153.84615384615384</v>
      </c>
      <c r="Y433" s="986">
        <f t="shared" si="119"/>
        <v>153.84615384615384</v>
      </c>
      <c r="Z433" s="986">
        <f t="shared" si="119"/>
        <v>153.84615384615384</v>
      </c>
      <c r="AA433" s="986">
        <f t="shared" si="119"/>
        <v>169.23076923076923</v>
      </c>
      <c r="AB433" s="986">
        <f t="shared" si="119"/>
        <v>173.07692307692307</v>
      </c>
      <c r="AC433" s="986">
        <f t="shared" si="119"/>
        <v>173.07692307692307</v>
      </c>
      <c r="AD433" s="986">
        <f t="shared" si="119"/>
        <v>173.07692307692307</v>
      </c>
      <c r="AE433" s="986">
        <f t="shared" si="119"/>
        <v>182.69230769230768</v>
      </c>
      <c r="AF433" s="986">
        <f t="shared" si="119"/>
        <v>182.69230769230768</v>
      </c>
    </row>
    <row r="434" spans="1:32" s="1010" customFormat="1" outlineLevel="4">
      <c r="A434" s="999"/>
      <c r="B434" s="999"/>
      <c r="C434" s="999"/>
      <c r="D434" s="1015">
        <f>+D433+1</f>
        <v>65</v>
      </c>
      <c r="E434" s="1017" t="s">
        <v>1964</v>
      </c>
      <c r="F434" s="988">
        <f>+'[11]7'!$P$86+'[11]7'!$P$87</f>
        <v>5405.1868380000005</v>
      </c>
      <c r="G434" s="987">
        <v>1.091500920198427E-3</v>
      </c>
      <c r="H434" s="986">
        <f>IF(H92=0,100,H92/H92*100)</f>
        <v>100</v>
      </c>
      <c r="I434" s="986">
        <f t="shared" ref="I434:AF434" si="120">IF(I92=0,100,I92/H92*H434)</f>
        <v>103.94788787998421</v>
      </c>
      <c r="J434" s="986">
        <f t="shared" si="120"/>
        <v>100</v>
      </c>
      <c r="K434" s="986">
        <f t="shared" si="120"/>
        <v>100</v>
      </c>
      <c r="L434" s="986">
        <f t="shared" si="120"/>
        <v>100</v>
      </c>
      <c r="M434" s="986">
        <f t="shared" si="120"/>
        <v>100</v>
      </c>
      <c r="N434" s="986">
        <f t="shared" si="120"/>
        <v>100</v>
      </c>
      <c r="O434" s="986">
        <f t="shared" si="120"/>
        <v>100</v>
      </c>
      <c r="P434" s="986">
        <f t="shared" si="120"/>
        <v>110.54086063955783</v>
      </c>
      <c r="Q434" s="986">
        <f t="shared" si="120"/>
        <v>110.54086063955783</v>
      </c>
      <c r="R434" s="986">
        <f t="shared" si="120"/>
        <v>110.54086063955783</v>
      </c>
      <c r="S434" s="986">
        <f t="shared" si="120"/>
        <v>110.54086063955783</v>
      </c>
      <c r="T434" s="986">
        <f t="shared" si="120"/>
        <v>110.54086063955783</v>
      </c>
      <c r="U434" s="986">
        <f t="shared" si="120"/>
        <v>110.54086063955783</v>
      </c>
      <c r="V434" s="986">
        <f t="shared" si="120"/>
        <v>118.43663639952625</v>
      </c>
      <c r="W434" s="986">
        <f t="shared" si="120"/>
        <v>118.43663639952625</v>
      </c>
      <c r="X434" s="986">
        <f t="shared" si="120"/>
        <v>118.43663639952625</v>
      </c>
      <c r="Y434" s="986">
        <f t="shared" si="120"/>
        <v>118.43663639952625</v>
      </c>
      <c r="Z434" s="986">
        <f t="shared" si="120"/>
        <v>126.33241215949467</v>
      </c>
      <c r="AA434" s="986">
        <f t="shared" si="120"/>
        <v>138.17607579944729</v>
      </c>
      <c r="AB434" s="986">
        <f t="shared" si="120"/>
        <v>138.17607579944729</v>
      </c>
      <c r="AC434" s="986">
        <f t="shared" si="120"/>
        <v>138.17607579944729</v>
      </c>
      <c r="AD434" s="986">
        <f t="shared" si="120"/>
        <v>138.17607579944729</v>
      </c>
      <c r="AE434" s="986">
        <f t="shared" si="120"/>
        <v>148.0457954994078</v>
      </c>
      <c r="AF434" s="986">
        <f t="shared" si="120"/>
        <v>148.0457954994078</v>
      </c>
    </row>
    <row r="435" spans="1:32" s="1010" customFormat="1" outlineLevel="4">
      <c r="A435" s="999"/>
      <c r="B435" s="999"/>
      <c r="C435" s="999"/>
      <c r="D435" s="1015">
        <f>+D434+1</f>
        <v>66</v>
      </c>
      <c r="E435" s="1014" t="s">
        <v>1963</v>
      </c>
      <c r="F435" s="988">
        <f>+'[11]7'!$P$88+'[11]7'!$P$89</f>
        <v>21712.685859999998</v>
      </c>
      <c r="G435" s="987">
        <v>4.3845693602218771E-3</v>
      </c>
      <c r="H435" s="986">
        <f>IF(H93=0,100,H93/H93*100)</f>
        <v>100</v>
      </c>
      <c r="I435" s="986">
        <f t="shared" ref="I435:AF435" si="121">IF(I93=0,100,I93/H93*H435)</f>
        <v>101.76460208223045</v>
      </c>
      <c r="J435" s="986">
        <f t="shared" si="121"/>
        <v>100</v>
      </c>
      <c r="K435" s="986">
        <f t="shared" si="121"/>
        <v>100</v>
      </c>
      <c r="L435" s="986">
        <f t="shared" si="121"/>
        <v>100</v>
      </c>
      <c r="M435" s="986">
        <f t="shared" si="121"/>
        <v>100</v>
      </c>
      <c r="N435" s="986">
        <f t="shared" si="121"/>
        <v>100</v>
      </c>
      <c r="O435" s="986">
        <f t="shared" si="121"/>
        <v>100</v>
      </c>
      <c r="P435" s="986">
        <f t="shared" si="121"/>
        <v>100</v>
      </c>
      <c r="Q435" s="986">
        <f t="shared" si="121"/>
        <v>100</v>
      </c>
      <c r="R435" s="986">
        <f t="shared" si="121"/>
        <v>100</v>
      </c>
      <c r="S435" s="986">
        <f t="shared" si="121"/>
        <v>100</v>
      </c>
      <c r="T435" s="986">
        <f t="shared" si="121"/>
        <v>100</v>
      </c>
      <c r="U435" s="986">
        <f t="shared" si="121"/>
        <v>102.34692076936651</v>
      </c>
      <c r="V435" s="986">
        <f t="shared" si="121"/>
        <v>105.87612493382743</v>
      </c>
      <c r="W435" s="986">
        <f t="shared" si="121"/>
        <v>105.87612493382743</v>
      </c>
      <c r="X435" s="986">
        <f t="shared" si="121"/>
        <v>105.87612493382743</v>
      </c>
      <c r="Y435" s="986">
        <f t="shared" si="121"/>
        <v>105.87612493382743</v>
      </c>
      <c r="Z435" s="986">
        <f t="shared" si="121"/>
        <v>105.87612493382743</v>
      </c>
      <c r="AA435" s="986">
        <f t="shared" si="121"/>
        <v>105.87612493382743</v>
      </c>
      <c r="AB435" s="986">
        <f t="shared" si="121"/>
        <v>105.87612493382743</v>
      </c>
      <c r="AC435" s="986">
        <f t="shared" si="121"/>
        <v>105.87612493382743</v>
      </c>
      <c r="AD435" s="986">
        <f t="shared" si="121"/>
        <v>110.28763013940357</v>
      </c>
      <c r="AE435" s="986">
        <f t="shared" si="121"/>
        <v>110.28763013940357</v>
      </c>
      <c r="AF435" s="986">
        <f t="shared" si="121"/>
        <v>110.28763013940357</v>
      </c>
    </row>
    <row r="436" spans="1:32" s="1010" customFormat="1" outlineLevel="4">
      <c r="A436" s="999"/>
      <c r="B436" s="999"/>
      <c r="C436" s="999"/>
      <c r="D436" s="1015">
        <f>+D435+1</f>
        <v>67</v>
      </c>
      <c r="E436" s="1045" t="s">
        <v>1962</v>
      </c>
      <c r="F436" s="988">
        <f>+'[11]7'!$P$90+'[11]7'!$P$91+'[11]7'!$P$92</f>
        <v>5745.3301529999999</v>
      </c>
      <c r="G436" s="987">
        <v>1.1601880447047867E-3</v>
      </c>
      <c r="H436" s="986">
        <f>IF(H94=0,100,H94/H94*100)</f>
        <v>100</v>
      </c>
      <c r="I436" s="986">
        <f t="shared" ref="I436:AF436" si="122">IF(I94=0,100,I94/H94*H436)</f>
        <v>109.32</v>
      </c>
      <c r="J436" s="986">
        <f t="shared" si="122"/>
        <v>100</v>
      </c>
      <c r="K436" s="986">
        <f t="shared" si="122"/>
        <v>100</v>
      </c>
      <c r="L436" s="986">
        <f t="shared" si="122"/>
        <v>100</v>
      </c>
      <c r="M436" s="986">
        <f t="shared" si="122"/>
        <v>100</v>
      </c>
      <c r="N436" s="986">
        <f t="shared" si="122"/>
        <v>100</v>
      </c>
      <c r="O436" s="986">
        <f t="shared" si="122"/>
        <v>100</v>
      </c>
      <c r="P436" s="986">
        <f t="shared" si="122"/>
        <v>100</v>
      </c>
      <c r="Q436" s="986">
        <f t="shared" si="122"/>
        <v>100</v>
      </c>
      <c r="R436" s="986">
        <f t="shared" si="122"/>
        <v>100</v>
      </c>
      <c r="S436" s="986">
        <f t="shared" si="122"/>
        <v>100</v>
      </c>
      <c r="T436" s="986">
        <f t="shared" si="122"/>
        <v>100</v>
      </c>
      <c r="U436" s="986">
        <f t="shared" si="122"/>
        <v>100</v>
      </c>
      <c r="V436" s="986">
        <f t="shared" si="122"/>
        <v>112.00000000000001</v>
      </c>
      <c r="W436" s="986">
        <f t="shared" si="122"/>
        <v>120.00000000000001</v>
      </c>
      <c r="X436" s="986">
        <f t="shared" si="122"/>
        <v>128</v>
      </c>
      <c r="Y436" s="986">
        <f t="shared" si="122"/>
        <v>128</v>
      </c>
      <c r="Z436" s="986">
        <f t="shared" si="122"/>
        <v>128</v>
      </c>
      <c r="AA436" s="986">
        <f t="shared" si="122"/>
        <v>120</v>
      </c>
      <c r="AB436" s="986">
        <f t="shared" si="122"/>
        <v>120</v>
      </c>
      <c r="AC436" s="986">
        <f t="shared" si="122"/>
        <v>120</v>
      </c>
      <c r="AD436" s="986">
        <f t="shared" si="122"/>
        <v>120</v>
      </c>
      <c r="AE436" s="986">
        <f t="shared" si="122"/>
        <v>120</v>
      </c>
      <c r="AF436" s="986">
        <f t="shared" si="122"/>
        <v>120</v>
      </c>
    </row>
    <row r="437" spans="1:32" outlineLevel="3">
      <c r="A437" s="999"/>
      <c r="B437" s="999"/>
      <c r="C437" s="1956" t="s">
        <v>1961</v>
      </c>
      <c r="D437" s="1956"/>
      <c r="E437" s="1956"/>
      <c r="F437" s="998">
        <f>+F438+F447+F460</f>
        <v>595508.64308299997</v>
      </c>
      <c r="G437" s="997">
        <v>0.120254535392105</v>
      </c>
      <c r="H437" s="996">
        <f t="shared" ref="H437:AF437" si="123">+($G$438*H438+$G$447*H447+$G$460*H460)/$G$437</f>
        <v>100</v>
      </c>
      <c r="I437" s="996">
        <f t="shared" si="123"/>
        <v>100.70583017544105</v>
      </c>
      <c r="J437" s="996">
        <f t="shared" si="123"/>
        <v>99.3078408881331</v>
      </c>
      <c r="K437" s="996">
        <f t="shared" si="123"/>
        <v>99.404369904379124</v>
      </c>
      <c r="L437" s="996">
        <f t="shared" si="123"/>
        <v>99.404369904379124</v>
      </c>
      <c r="M437" s="996">
        <f t="shared" si="123"/>
        <v>99.482578917494862</v>
      </c>
      <c r="N437" s="996">
        <f t="shared" si="123"/>
        <v>99.584954436644153</v>
      </c>
      <c r="O437" s="996">
        <f t="shared" si="123"/>
        <v>99.584954436644153</v>
      </c>
      <c r="P437" s="996">
        <f t="shared" si="123"/>
        <v>99.584954436644153</v>
      </c>
      <c r="Q437" s="996">
        <f t="shared" si="123"/>
        <v>100.56389041768492</v>
      </c>
      <c r="R437" s="996">
        <f t="shared" si="123"/>
        <v>102.79430157835867</v>
      </c>
      <c r="S437" s="996">
        <f t="shared" si="123"/>
        <v>105.14573063222271</v>
      </c>
      <c r="T437" s="996">
        <f t="shared" si="123"/>
        <v>105.46048233810832</v>
      </c>
      <c r="U437" s="996">
        <f t="shared" si="123"/>
        <v>108.73690070587408</v>
      </c>
      <c r="V437" s="996">
        <f t="shared" si="123"/>
        <v>112.24461202372331</v>
      </c>
      <c r="W437" s="996">
        <f t="shared" si="123"/>
        <v>115.90871295950815</v>
      </c>
      <c r="X437" s="996">
        <f t="shared" si="123"/>
        <v>120.28019067830682</v>
      </c>
      <c r="Y437" s="996">
        <f t="shared" si="123"/>
        <v>122.81499923045091</v>
      </c>
      <c r="Z437" s="996">
        <f t="shared" si="123"/>
        <v>124.46549903551889</v>
      </c>
      <c r="AA437" s="996">
        <f t="shared" si="123"/>
        <v>125.00074073315099</v>
      </c>
      <c r="AB437" s="996">
        <f t="shared" si="123"/>
        <v>126.12990504220265</v>
      </c>
      <c r="AC437" s="996">
        <f t="shared" si="123"/>
        <v>129.03182807451418</v>
      </c>
      <c r="AD437" s="996">
        <f t="shared" si="123"/>
        <v>130.79152346029574</v>
      </c>
      <c r="AE437" s="996">
        <f t="shared" si="123"/>
        <v>133.80866287644744</v>
      </c>
      <c r="AF437" s="996">
        <f t="shared" si="123"/>
        <v>136.52627677033078</v>
      </c>
    </row>
    <row r="438" spans="1:32" outlineLevel="4">
      <c r="A438" s="999"/>
      <c r="B438" s="999"/>
      <c r="C438" s="999"/>
      <c r="D438" s="1030"/>
      <c r="E438" s="1044" t="s">
        <v>1960</v>
      </c>
      <c r="F438" s="998">
        <f>SUM(F439:F446)</f>
        <v>232019.58449299997</v>
      </c>
      <c r="G438" s="997">
        <v>4.6853068648385947E-2</v>
      </c>
      <c r="H438" s="996">
        <f t="shared" ref="H438:AF438" si="124">+SUMPRODUCT(H439:H446,$G439:$G446)/$G438</f>
        <v>100.00000000000001</v>
      </c>
      <c r="I438" s="996">
        <f t="shared" si="124"/>
        <v>100.07063176572467</v>
      </c>
      <c r="J438" s="996">
        <f t="shared" si="124"/>
        <v>99.763650668908753</v>
      </c>
      <c r="K438" s="996">
        <f t="shared" si="124"/>
        <v>101.63648079541424</v>
      </c>
      <c r="L438" s="996">
        <f t="shared" si="124"/>
        <v>101.63648079541424</v>
      </c>
      <c r="M438" s="996">
        <f t="shared" si="124"/>
        <v>101.63648079541424</v>
      </c>
      <c r="N438" s="996">
        <f t="shared" si="124"/>
        <v>101.63648079541424</v>
      </c>
      <c r="O438" s="996">
        <f t="shared" si="124"/>
        <v>101.63648079541424</v>
      </c>
      <c r="P438" s="996">
        <f t="shared" si="124"/>
        <v>101.63648079541424</v>
      </c>
      <c r="Q438" s="996">
        <f t="shared" si="124"/>
        <v>102.43912227820232</v>
      </c>
      <c r="R438" s="996">
        <f t="shared" si="124"/>
        <v>106.32909257138412</v>
      </c>
      <c r="S438" s="996">
        <f t="shared" si="124"/>
        <v>110.37601164316408</v>
      </c>
      <c r="T438" s="996">
        <f t="shared" si="124"/>
        <v>110.37601164316408</v>
      </c>
      <c r="U438" s="996">
        <f t="shared" si="124"/>
        <v>116.88452263664961</v>
      </c>
      <c r="V438" s="996">
        <f t="shared" si="124"/>
        <v>117.29588849074852</v>
      </c>
      <c r="W438" s="996">
        <f t="shared" si="124"/>
        <v>122.59957899525715</v>
      </c>
      <c r="X438" s="996">
        <f t="shared" si="124"/>
        <v>128.32875309292194</v>
      </c>
      <c r="Y438" s="996">
        <f t="shared" si="124"/>
        <v>133.55902280742723</v>
      </c>
      <c r="Z438" s="996">
        <f t="shared" si="124"/>
        <v>136.49783100560913</v>
      </c>
      <c r="AA438" s="996">
        <f t="shared" si="124"/>
        <v>136.49783100560913</v>
      </c>
      <c r="AB438" s="996">
        <f t="shared" si="124"/>
        <v>136.09799505266841</v>
      </c>
      <c r="AC438" s="996">
        <f t="shared" si="124"/>
        <v>138.96642601796938</v>
      </c>
      <c r="AD438" s="996">
        <f t="shared" si="124"/>
        <v>140.16947964762227</v>
      </c>
      <c r="AE438" s="996">
        <f t="shared" si="124"/>
        <v>141.42652257533373</v>
      </c>
      <c r="AF438" s="996">
        <f t="shared" si="124"/>
        <v>144.80225227031957</v>
      </c>
    </row>
    <row r="439" spans="1:32" s="1010" customFormat="1" ht="25.5" outlineLevel="5">
      <c r="A439" s="999"/>
      <c r="B439" s="999"/>
      <c r="C439" s="999"/>
      <c r="D439" s="1013">
        <f>D436+1</f>
        <v>68</v>
      </c>
      <c r="E439" s="1014" t="s">
        <v>1959</v>
      </c>
      <c r="F439" s="988">
        <f>+'[11]7'!$P$8+'[11]7'!$P$9+'[11]7'!$P$10+'[11]7'!$P$11+'[11]7'!$P$15+'[11]7'!$P$12</f>
        <v>77823.44339</v>
      </c>
      <c r="G439" s="987">
        <v>1.5715342062925963E-2</v>
      </c>
      <c r="H439" s="986">
        <f t="shared" ref="H439:H446" si="125">IF(H97=0,100,H97/H97*100)</f>
        <v>100</v>
      </c>
      <c r="I439" s="986">
        <f t="shared" ref="I439:AF439" si="126">IF(I97=0,100,I97/H97*H439)</f>
        <v>100</v>
      </c>
      <c r="J439" s="986">
        <f t="shared" si="126"/>
        <v>100</v>
      </c>
      <c r="K439" s="986">
        <f t="shared" si="126"/>
        <v>100</v>
      </c>
      <c r="L439" s="986">
        <f t="shared" si="126"/>
        <v>100</v>
      </c>
      <c r="M439" s="986">
        <f t="shared" si="126"/>
        <v>100</v>
      </c>
      <c r="N439" s="986">
        <f t="shared" si="126"/>
        <v>100</v>
      </c>
      <c r="O439" s="986">
        <f t="shared" si="126"/>
        <v>100</v>
      </c>
      <c r="P439" s="986">
        <f t="shared" si="126"/>
        <v>100</v>
      </c>
      <c r="Q439" s="986">
        <f t="shared" si="126"/>
        <v>100</v>
      </c>
      <c r="R439" s="986">
        <f t="shared" si="126"/>
        <v>106.09756097560977</v>
      </c>
      <c r="S439" s="986">
        <f t="shared" si="126"/>
        <v>115.85365853658539</v>
      </c>
      <c r="T439" s="986">
        <f t="shared" si="126"/>
        <v>115.85365853658539</v>
      </c>
      <c r="U439" s="986">
        <f t="shared" si="126"/>
        <v>126.82926829268295</v>
      </c>
      <c r="V439" s="986">
        <f t="shared" si="126"/>
        <v>126.82926829268295</v>
      </c>
      <c r="W439" s="986">
        <f t="shared" si="126"/>
        <v>134.14634146341467</v>
      </c>
      <c r="X439" s="986">
        <f t="shared" si="126"/>
        <v>146.34146341463418</v>
      </c>
      <c r="Y439" s="986">
        <f t="shared" si="126"/>
        <v>146.34146341463418</v>
      </c>
      <c r="Z439" s="986">
        <f t="shared" si="126"/>
        <v>146.34146341463418</v>
      </c>
      <c r="AA439" s="986">
        <f t="shared" si="126"/>
        <v>146.34146341463418</v>
      </c>
      <c r="AB439" s="986">
        <f t="shared" si="126"/>
        <v>146.34146341463418</v>
      </c>
      <c r="AC439" s="986">
        <f t="shared" si="126"/>
        <v>158.53658536585368</v>
      </c>
      <c r="AD439" s="986">
        <f t="shared" si="126"/>
        <v>158.53658536585368</v>
      </c>
      <c r="AE439" s="986">
        <f t="shared" si="126"/>
        <v>158.53658536585368</v>
      </c>
      <c r="AF439" s="986">
        <f t="shared" si="126"/>
        <v>160.16260162601628</v>
      </c>
    </row>
    <row r="440" spans="1:32" s="1010" customFormat="1" outlineLevel="5">
      <c r="A440" s="999"/>
      <c r="B440" s="999"/>
      <c r="C440" s="999"/>
      <c r="D440" s="1017">
        <f t="shared" ref="D440:D446" si="127">+D439+1</f>
        <v>69</v>
      </c>
      <c r="E440" s="1014" t="s">
        <v>1958</v>
      </c>
      <c r="F440" s="988">
        <f>+'[11]7'!$P$13</f>
        <v>25307.029820000003</v>
      </c>
      <c r="G440" s="987">
        <v>5.1103962108809964E-3</v>
      </c>
      <c r="H440" s="986">
        <f t="shared" si="125"/>
        <v>100</v>
      </c>
      <c r="I440" s="986">
        <f t="shared" ref="I440:AF440" si="128">IF(I98=0,100,I98/H98*H440)</f>
        <v>100</v>
      </c>
      <c r="J440" s="986">
        <f t="shared" si="128"/>
        <v>100</v>
      </c>
      <c r="K440" s="986">
        <f t="shared" si="128"/>
        <v>100</v>
      </c>
      <c r="L440" s="986">
        <f t="shared" si="128"/>
        <v>100</v>
      </c>
      <c r="M440" s="986">
        <f t="shared" si="128"/>
        <v>100</v>
      </c>
      <c r="N440" s="986">
        <f t="shared" si="128"/>
        <v>100</v>
      </c>
      <c r="O440" s="986">
        <f t="shared" si="128"/>
        <v>100</v>
      </c>
      <c r="P440" s="986">
        <f t="shared" si="128"/>
        <v>100</v>
      </c>
      <c r="Q440" s="986">
        <f t="shared" si="128"/>
        <v>100</v>
      </c>
      <c r="R440" s="986">
        <f t="shared" si="128"/>
        <v>100</v>
      </c>
      <c r="S440" s="986">
        <f t="shared" si="128"/>
        <v>100</v>
      </c>
      <c r="T440" s="986">
        <f t="shared" si="128"/>
        <v>100</v>
      </c>
      <c r="U440" s="986">
        <f t="shared" si="128"/>
        <v>100</v>
      </c>
      <c r="V440" s="986">
        <f t="shared" si="128"/>
        <v>100</v>
      </c>
      <c r="W440" s="986">
        <f t="shared" si="128"/>
        <v>120</v>
      </c>
      <c r="X440" s="986">
        <f t="shared" si="128"/>
        <v>120</v>
      </c>
      <c r="Y440" s="986">
        <f t="shared" si="128"/>
        <v>120</v>
      </c>
      <c r="Z440" s="986">
        <f t="shared" si="128"/>
        <v>120</v>
      </c>
      <c r="AA440" s="986">
        <f t="shared" si="128"/>
        <v>120</v>
      </c>
      <c r="AB440" s="986">
        <f t="shared" si="128"/>
        <v>120</v>
      </c>
      <c r="AC440" s="986">
        <f t="shared" si="128"/>
        <v>110</v>
      </c>
      <c r="AD440" s="986">
        <f t="shared" si="128"/>
        <v>110</v>
      </c>
      <c r="AE440" s="986">
        <f t="shared" si="128"/>
        <v>110.66666666666667</v>
      </c>
      <c r="AF440" s="986">
        <f t="shared" si="128"/>
        <v>113.33333333333333</v>
      </c>
    </row>
    <row r="441" spans="1:32" s="1010" customFormat="1" outlineLevel="5">
      <c r="A441" s="999"/>
      <c r="B441" s="999"/>
      <c r="C441" s="999"/>
      <c r="D441" s="1017">
        <f t="shared" si="127"/>
        <v>70</v>
      </c>
      <c r="E441" s="1014" t="s">
        <v>1957</v>
      </c>
      <c r="F441" s="988">
        <f>+'[11]7'!$P$14</f>
        <v>11173.712599999999</v>
      </c>
      <c r="G441" s="987">
        <v>2.2563729895867025E-3</v>
      </c>
      <c r="H441" s="986">
        <f t="shared" si="125"/>
        <v>100</v>
      </c>
      <c r="I441" s="986">
        <f t="shared" ref="I441:AF441" si="129">IF(I99=0,100,I99/H99*H441)</f>
        <v>100</v>
      </c>
      <c r="J441" s="986">
        <f t="shared" si="129"/>
        <v>100</v>
      </c>
      <c r="K441" s="986">
        <f t="shared" si="129"/>
        <v>138.88888888888889</v>
      </c>
      <c r="L441" s="986">
        <f t="shared" si="129"/>
        <v>138.88888888888889</v>
      </c>
      <c r="M441" s="986">
        <f t="shared" si="129"/>
        <v>138.88888888888889</v>
      </c>
      <c r="N441" s="986">
        <f t="shared" si="129"/>
        <v>138.88888888888889</v>
      </c>
      <c r="O441" s="986">
        <f t="shared" si="129"/>
        <v>138.88888888888889</v>
      </c>
      <c r="P441" s="986">
        <f t="shared" si="129"/>
        <v>138.88888888888889</v>
      </c>
      <c r="Q441" s="986">
        <f t="shared" si="129"/>
        <v>155.55555555555557</v>
      </c>
      <c r="R441" s="986">
        <f t="shared" si="129"/>
        <v>177.7777777777778</v>
      </c>
      <c r="S441" s="986">
        <f t="shared" si="129"/>
        <v>177.7777777777778</v>
      </c>
      <c r="T441" s="986">
        <f t="shared" si="129"/>
        <v>177.7777777777778</v>
      </c>
      <c r="U441" s="986">
        <f t="shared" si="129"/>
        <v>177.7777777777778</v>
      </c>
      <c r="V441" s="986">
        <f t="shared" si="129"/>
        <v>188.88888888888891</v>
      </c>
      <c r="W441" s="986">
        <f t="shared" si="129"/>
        <v>188.88888888888891</v>
      </c>
      <c r="X441" s="986">
        <f t="shared" si="129"/>
        <v>188.88888888888891</v>
      </c>
      <c r="Y441" s="986">
        <f t="shared" si="129"/>
        <v>188.88888888888891</v>
      </c>
      <c r="Z441" s="986">
        <f t="shared" si="129"/>
        <v>200.00000000000003</v>
      </c>
      <c r="AA441" s="986">
        <f t="shared" si="129"/>
        <v>200.00000000000003</v>
      </c>
      <c r="AB441" s="986">
        <f t="shared" si="129"/>
        <v>200.00000000000003</v>
      </c>
      <c r="AC441" s="986">
        <f t="shared" si="129"/>
        <v>211.11111111111114</v>
      </c>
      <c r="AD441" s="986">
        <f t="shared" si="129"/>
        <v>222.22222222222226</v>
      </c>
      <c r="AE441" s="986">
        <f t="shared" si="129"/>
        <v>222.22222222222226</v>
      </c>
      <c r="AF441" s="986">
        <f t="shared" si="129"/>
        <v>248.14814814814818</v>
      </c>
    </row>
    <row r="442" spans="1:32" s="1010" customFormat="1" outlineLevel="5">
      <c r="A442" s="999"/>
      <c r="B442" s="999"/>
      <c r="C442" s="999"/>
      <c r="D442" s="1017">
        <f t="shared" si="127"/>
        <v>71</v>
      </c>
      <c r="E442" s="1014" t="s">
        <v>1956</v>
      </c>
      <c r="F442" s="988">
        <f>+'[11]7'!$P$16</f>
        <v>11132.372600000001</v>
      </c>
      <c r="G442" s="987">
        <v>2.2480249621468782E-3</v>
      </c>
      <c r="H442" s="986">
        <f t="shared" si="125"/>
        <v>100</v>
      </c>
      <c r="I442" s="986">
        <f t="shared" ref="I442:AF442" si="130">IF(I100=0,100,I100/H100*H442)</f>
        <v>100</v>
      </c>
      <c r="J442" s="986">
        <f t="shared" si="130"/>
        <v>100</v>
      </c>
      <c r="K442" s="986">
        <f t="shared" si="130"/>
        <v>100</v>
      </c>
      <c r="L442" s="986">
        <f t="shared" si="130"/>
        <v>100</v>
      </c>
      <c r="M442" s="986">
        <f t="shared" si="130"/>
        <v>100</v>
      </c>
      <c r="N442" s="986">
        <f t="shared" si="130"/>
        <v>100</v>
      </c>
      <c r="O442" s="986">
        <f t="shared" si="130"/>
        <v>100</v>
      </c>
      <c r="P442" s="986">
        <f t="shared" si="130"/>
        <v>100</v>
      </c>
      <c r="Q442" s="986">
        <f t="shared" si="130"/>
        <v>100</v>
      </c>
      <c r="R442" s="986">
        <f t="shared" si="130"/>
        <v>100</v>
      </c>
      <c r="S442" s="986">
        <f t="shared" si="130"/>
        <v>100</v>
      </c>
      <c r="T442" s="986">
        <f t="shared" si="130"/>
        <v>100</v>
      </c>
      <c r="U442" s="986">
        <f t="shared" si="130"/>
        <v>111.11111111111111</v>
      </c>
      <c r="V442" s="986">
        <f t="shared" si="130"/>
        <v>116.66666666666667</v>
      </c>
      <c r="W442" s="986">
        <f t="shared" si="130"/>
        <v>116.66666666666667</v>
      </c>
      <c r="X442" s="986">
        <f t="shared" si="130"/>
        <v>116.66666666666667</v>
      </c>
      <c r="Y442" s="986">
        <f t="shared" si="130"/>
        <v>125</v>
      </c>
      <c r="Z442" s="986">
        <f t="shared" si="130"/>
        <v>133.33333333333334</v>
      </c>
      <c r="AA442" s="986">
        <f t="shared" si="130"/>
        <v>133.33333333333334</v>
      </c>
      <c r="AB442" s="986">
        <f t="shared" si="130"/>
        <v>125.00000000000001</v>
      </c>
      <c r="AC442" s="986">
        <f t="shared" si="130"/>
        <v>111.11111111111111</v>
      </c>
      <c r="AD442" s="986">
        <f t="shared" si="130"/>
        <v>111.11111111111111</v>
      </c>
      <c r="AE442" s="986">
        <f t="shared" si="130"/>
        <v>111.11111111111111</v>
      </c>
      <c r="AF442" s="986">
        <f t="shared" si="130"/>
        <v>111.11111111111111</v>
      </c>
    </row>
    <row r="443" spans="1:32" s="1010" customFormat="1" outlineLevel="5">
      <c r="A443" s="999"/>
      <c r="B443" s="999"/>
      <c r="C443" s="999"/>
      <c r="D443" s="1017">
        <f t="shared" si="127"/>
        <v>72</v>
      </c>
      <c r="E443" s="1014" t="s">
        <v>1955</v>
      </c>
      <c r="F443" s="988">
        <f>+'[11]7'!$P$18</f>
        <v>62161.023000000001</v>
      </c>
      <c r="G443" s="987">
        <v>1.2552538115422604E-2</v>
      </c>
      <c r="H443" s="986">
        <f t="shared" si="125"/>
        <v>100</v>
      </c>
      <c r="I443" s="986">
        <f t="shared" ref="I443:AF443" si="131">IF(I101=0,100,I101/H101*H443)</f>
        <v>100</v>
      </c>
      <c r="J443" s="986">
        <f t="shared" si="131"/>
        <v>100</v>
      </c>
      <c r="K443" s="986">
        <f t="shared" si="131"/>
        <v>100</v>
      </c>
      <c r="L443" s="986">
        <f t="shared" si="131"/>
        <v>100</v>
      </c>
      <c r="M443" s="986">
        <f t="shared" si="131"/>
        <v>100</v>
      </c>
      <c r="N443" s="986">
        <f t="shared" si="131"/>
        <v>100</v>
      </c>
      <c r="O443" s="986">
        <f t="shared" si="131"/>
        <v>100</v>
      </c>
      <c r="P443" s="986">
        <f t="shared" si="131"/>
        <v>100</v>
      </c>
      <c r="Q443" s="986">
        <f t="shared" si="131"/>
        <v>100</v>
      </c>
      <c r="R443" s="986">
        <f t="shared" si="131"/>
        <v>100</v>
      </c>
      <c r="S443" s="986">
        <f t="shared" si="131"/>
        <v>100</v>
      </c>
      <c r="T443" s="986">
        <f t="shared" si="131"/>
        <v>100</v>
      </c>
      <c r="U443" s="986">
        <f t="shared" si="131"/>
        <v>100</v>
      </c>
      <c r="V443" s="986">
        <f t="shared" si="131"/>
        <v>95.652173913043484</v>
      </c>
      <c r="W443" s="986">
        <f t="shared" si="131"/>
        <v>95.652173913043484</v>
      </c>
      <c r="X443" s="986">
        <f t="shared" si="131"/>
        <v>95.652173913043484</v>
      </c>
      <c r="Y443" s="986">
        <f t="shared" si="131"/>
        <v>108.69565217391306</v>
      </c>
      <c r="Z443" s="986">
        <f t="shared" si="131"/>
        <v>108.69565217391306</v>
      </c>
      <c r="AA443" s="986">
        <f t="shared" si="131"/>
        <v>108.69565217391306</v>
      </c>
      <c r="AB443" s="986">
        <f t="shared" si="131"/>
        <v>108.69565217391306</v>
      </c>
      <c r="AC443" s="986">
        <f t="shared" si="131"/>
        <v>108.69565217391306</v>
      </c>
      <c r="AD443" s="986">
        <f t="shared" si="131"/>
        <v>108.69565217391306</v>
      </c>
      <c r="AE443" s="986">
        <f t="shared" si="131"/>
        <v>108.69565217391306</v>
      </c>
      <c r="AF443" s="986">
        <f t="shared" si="131"/>
        <v>108.69565217391306</v>
      </c>
    </row>
    <row r="444" spans="1:32" s="1010" customFormat="1" outlineLevel="5">
      <c r="A444" s="999"/>
      <c r="B444" s="999"/>
      <c r="C444" s="999"/>
      <c r="D444" s="1017">
        <f t="shared" si="127"/>
        <v>73</v>
      </c>
      <c r="E444" s="1014" t="s">
        <v>1954</v>
      </c>
      <c r="F444" s="988">
        <f>+'[11]7'!$P$19</f>
        <v>14723.065900000001</v>
      </c>
      <c r="G444" s="987">
        <v>2.9731146137287477E-3</v>
      </c>
      <c r="H444" s="986">
        <f t="shared" si="125"/>
        <v>100</v>
      </c>
      <c r="I444" s="986">
        <f t="shared" ref="I444:AF444" si="132">IF(I102=0,100,I102/H102*H444)</f>
        <v>105.26315789473684</v>
      </c>
      <c r="J444" s="986">
        <f t="shared" si="132"/>
        <v>112.63157894736842</v>
      </c>
      <c r="K444" s="986">
        <f t="shared" si="132"/>
        <v>112.63157894736842</v>
      </c>
      <c r="L444" s="986">
        <f t="shared" si="132"/>
        <v>112.63157894736842</v>
      </c>
      <c r="M444" s="986">
        <f t="shared" si="132"/>
        <v>112.63157894736842</v>
      </c>
      <c r="N444" s="986">
        <f t="shared" si="132"/>
        <v>112.63157894736842</v>
      </c>
      <c r="O444" s="986">
        <f t="shared" si="132"/>
        <v>112.63157894736842</v>
      </c>
      <c r="P444" s="986">
        <f t="shared" si="132"/>
        <v>112.63157894736842</v>
      </c>
      <c r="Q444" s="986">
        <f t="shared" si="132"/>
        <v>112.63157894736842</v>
      </c>
      <c r="R444" s="986">
        <f t="shared" si="132"/>
        <v>112.63157894736842</v>
      </c>
      <c r="S444" s="986">
        <f t="shared" si="132"/>
        <v>112.63157894736842</v>
      </c>
      <c r="T444" s="986">
        <f t="shared" si="132"/>
        <v>112.63157894736842</v>
      </c>
      <c r="U444" s="986">
        <f t="shared" si="132"/>
        <v>126.31578947368421</v>
      </c>
      <c r="V444" s="986">
        <f t="shared" si="132"/>
        <v>126.31578947368421</v>
      </c>
      <c r="W444" s="986">
        <f t="shared" si="132"/>
        <v>136.84210526315789</v>
      </c>
      <c r="X444" s="986">
        <f t="shared" si="132"/>
        <v>147.36842105263156</v>
      </c>
      <c r="Y444" s="986">
        <f t="shared" si="132"/>
        <v>168.42105263157893</v>
      </c>
      <c r="Z444" s="986">
        <f t="shared" si="132"/>
        <v>199.99999999999997</v>
      </c>
      <c r="AA444" s="986">
        <f t="shared" si="132"/>
        <v>199.99999999999997</v>
      </c>
      <c r="AB444" s="986">
        <f t="shared" si="132"/>
        <v>199.99999999999997</v>
      </c>
      <c r="AC444" s="986">
        <f t="shared" si="132"/>
        <v>199.99999999999997</v>
      </c>
      <c r="AD444" s="986">
        <f t="shared" si="132"/>
        <v>210.52631578947364</v>
      </c>
      <c r="AE444" s="986">
        <f t="shared" si="132"/>
        <v>221.05263157894734</v>
      </c>
      <c r="AF444" s="986">
        <f t="shared" si="132"/>
        <v>221.05263157894734</v>
      </c>
    </row>
    <row r="445" spans="1:32" s="1010" customFormat="1" ht="25.5" outlineLevel="5">
      <c r="A445" s="999"/>
      <c r="B445" s="999"/>
      <c r="C445" s="999"/>
      <c r="D445" s="1017">
        <f t="shared" si="127"/>
        <v>74</v>
      </c>
      <c r="E445" s="1014" t="s">
        <v>1953</v>
      </c>
      <c r="F445" s="988">
        <f>+'[11]7'!$P$20</f>
        <v>15915.074699999997</v>
      </c>
      <c r="G445" s="987">
        <v>3.2138239066874419E-3</v>
      </c>
      <c r="H445" s="986">
        <f t="shared" si="125"/>
        <v>100</v>
      </c>
      <c r="I445" s="986">
        <f t="shared" ref="I445:AF445" si="133">IF(I103=0,100,I103/H103*H445)</f>
        <v>100</v>
      </c>
      <c r="J445" s="986">
        <f t="shared" si="133"/>
        <v>100</v>
      </c>
      <c r="K445" s="986">
        <f t="shared" si="133"/>
        <v>100</v>
      </c>
      <c r="L445" s="986">
        <f t="shared" si="133"/>
        <v>100</v>
      </c>
      <c r="M445" s="986">
        <f t="shared" si="133"/>
        <v>100</v>
      </c>
      <c r="N445" s="986">
        <f t="shared" si="133"/>
        <v>100</v>
      </c>
      <c r="O445" s="986">
        <f t="shared" si="133"/>
        <v>100</v>
      </c>
      <c r="P445" s="986">
        <f t="shared" si="133"/>
        <v>100</v>
      </c>
      <c r="Q445" s="986">
        <f t="shared" si="133"/>
        <v>100</v>
      </c>
      <c r="R445" s="986">
        <f t="shared" si="133"/>
        <v>100</v>
      </c>
      <c r="S445" s="986">
        <f t="shared" si="133"/>
        <v>100</v>
      </c>
      <c r="T445" s="986">
        <f t="shared" si="133"/>
        <v>100</v>
      </c>
      <c r="U445" s="986">
        <f t="shared" si="133"/>
        <v>113.21822813472969</v>
      </c>
      <c r="V445" s="986">
        <f t="shared" si="133"/>
        <v>113.21822813472969</v>
      </c>
      <c r="W445" s="986">
        <f t="shared" si="133"/>
        <v>113.21822813472969</v>
      </c>
      <c r="X445" s="986">
        <f t="shared" si="133"/>
        <v>127.37050665157089</v>
      </c>
      <c r="Y445" s="986">
        <f t="shared" si="133"/>
        <v>127.37050665157089</v>
      </c>
      <c r="Z445" s="986">
        <f t="shared" si="133"/>
        <v>127.37050665157089</v>
      </c>
      <c r="AA445" s="986">
        <f t="shared" si="133"/>
        <v>127.37050665157089</v>
      </c>
      <c r="AB445" s="986">
        <f t="shared" si="133"/>
        <v>127.37050665157089</v>
      </c>
      <c r="AC445" s="986">
        <f t="shared" si="133"/>
        <v>127.37050665157089</v>
      </c>
      <c r="AD445" s="986">
        <f t="shared" si="133"/>
        <v>127.37050665157089</v>
      </c>
      <c r="AE445" s="986">
        <f t="shared" si="133"/>
        <v>127.37050665157089</v>
      </c>
      <c r="AF445" s="986">
        <f t="shared" si="133"/>
        <v>127.37050665157089</v>
      </c>
    </row>
    <row r="446" spans="1:32" s="1010" customFormat="1" outlineLevel="5">
      <c r="A446" s="999"/>
      <c r="B446" s="999"/>
      <c r="C446" s="999"/>
      <c r="D446" s="1017">
        <f t="shared" si="127"/>
        <v>75</v>
      </c>
      <c r="E446" s="1014" t="s">
        <v>1940</v>
      </c>
      <c r="F446" s="988">
        <f>+'[11]7'!$P$21+'[11]7'!$P$22+'[11]7'!$P$23</f>
        <v>13783.862482999997</v>
      </c>
      <c r="G446" s="987">
        <v>2.783455787006612E-3</v>
      </c>
      <c r="H446" s="986">
        <f t="shared" si="125"/>
        <v>100</v>
      </c>
      <c r="I446" s="986">
        <f t="shared" ref="I446:AF446" si="134">IF(I104=0,100,I104/H104*H446)</f>
        <v>95.567144719687093</v>
      </c>
      <c r="J446" s="986">
        <f t="shared" si="134"/>
        <v>82.529335071707948</v>
      </c>
      <c r="K446" s="986">
        <f t="shared" si="134"/>
        <v>82.529335071707948</v>
      </c>
      <c r="L446" s="986">
        <f t="shared" si="134"/>
        <v>82.529335071707948</v>
      </c>
      <c r="M446" s="986">
        <f t="shared" si="134"/>
        <v>82.529335071707948</v>
      </c>
      <c r="N446" s="986">
        <f t="shared" si="134"/>
        <v>82.529335071707948</v>
      </c>
      <c r="O446" s="986">
        <f t="shared" si="134"/>
        <v>82.529335071707948</v>
      </c>
      <c r="P446" s="986">
        <f t="shared" si="134"/>
        <v>82.529335071707948</v>
      </c>
      <c r="Q446" s="986">
        <f t="shared" si="134"/>
        <v>82.529335071707948</v>
      </c>
      <c r="R446" s="986">
        <f t="shared" si="134"/>
        <v>95.567144719687093</v>
      </c>
      <c r="S446" s="986">
        <f t="shared" si="134"/>
        <v>108.60495436766622</v>
      </c>
      <c r="T446" s="986">
        <f t="shared" si="134"/>
        <v>108.60495436766622</v>
      </c>
      <c r="U446" s="986">
        <f t="shared" si="134"/>
        <v>117.34028683181225</v>
      </c>
      <c r="V446" s="986">
        <f t="shared" si="134"/>
        <v>130.3780964797914</v>
      </c>
      <c r="W446" s="986">
        <f t="shared" si="134"/>
        <v>130.3780964797914</v>
      </c>
      <c r="X446" s="986">
        <f t="shared" si="134"/>
        <v>130.3780964797914</v>
      </c>
      <c r="Y446" s="986">
        <f t="shared" si="134"/>
        <v>130.3780964797914</v>
      </c>
      <c r="Z446" s="986">
        <f t="shared" si="134"/>
        <v>130.3780964797914</v>
      </c>
      <c r="AA446" s="986">
        <f t="shared" si="134"/>
        <v>130.3780964797914</v>
      </c>
      <c r="AB446" s="986">
        <f t="shared" si="134"/>
        <v>130.3780964797914</v>
      </c>
      <c r="AC446" s="986">
        <f t="shared" si="134"/>
        <v>130.3780964797914</v>
      </c>
      <c r="AD446" s="986">
        <f t="shared" si="134"/>
        <v>130.3780964797914</v>
      </c>
      <c r="AE446" s="986">
        <f t="shared" si="134"/>
        <v>139.06996957844416</v>
      </c>
      <c r="AF446" s="986">
        <f t="shared" si="134"/>
        <v>160.79965232507604</v>
      </c>
    </row>
    <row r="447" spans="1:32" outlineLevel="4">
      <c r="A447" s="999"/>
      <c r="B447" s="999"/>
      <c r="C447" s="999"/>
      <c r="D447" s="999"/>
      <c r="E447" s="1042" t="s">
        <v>1952</v>
      </c>
      <c r="F447" s="998">
        <f>SUM(F448:F459)</f>
        <v>246968.48256</v>
      </c>
      <c r="G447" s="997">
        <v>4.9871786869442013E-2</v>
      </c>
      <c r="H447" s="996">
        <f t="shared" ref="H447:AF447" si="135">+SUMPRODUCT(H448:H459,$G448:$G459)/$G447</f>
        <v>99.999999999999986</v>
      </c>
      <c r="I447" s="996">
        <f t="shared" si="135"/>
        <v>99.999999999999986</v>
      </c>
      <c r="J447" s="996">
        <f t="shared" si="135"/>
        <v>99.634395948120783</v>
      </c>
      <c r="K447" s="996">
        <f t="shared" si="135"/>
        <v>98.107685331500377</v>
      </c>
      <c r="L447" s="996">
        <f t="shared" si="135"/>
        <v>98.107685331500377</v>
      </c>
      <c r="M447" s="996">
        <f t="shared" si="135"/>
        <v>98.29626867944279</v>
      </c>
      <c r="N447" s="996">
        <f t="shared" si="135"/>
        <v>98.29626867944279</v>
      </c>
      <c r="O447" s="996">
        <f t="shared" si="135"/>
        <v>98.29626867944279</v>
      </c>
      <c r="P447" s="996">
        <f t="shared" si="135"/>
        <v>98.29626867944279</v>
      </c>
      <c r="Q447" s="996">
        <f t="shared" si="135"/>
        <v>99.902693476197953</v>
      </c>
      <c r="R447" s="996">
        <f t="shared" si="135"/>
        <v>100.46773721535122</v>
      </c>
      <c r="S447" s="996">
        <f t="shared" si="135"/>
        <v>102.33571582897552</v>
      </c>
      <c r="T447" s="996">
        <f t="shared" si="135"/>
        <v>102.33571582897552</v>
      </c>
      <c r="U447" s="996">
        <f t="shared" si="135"/>
        <v>102.38749888523274</v>
      </c>
      <c r="V447" s="996">
        <f t="shared" si="135"/>
        <v>107.81453993777916</v>
      </c>
      <c r="W447" s="996">
        <f t="shared" si="135"/>
        <v>111.99823777020568</v>
      </c>
      <c r="X447" s="996">
        <f t="shared" si="135"/>
        <v>114.83952540323943</v>
      </c>
      <c r="Y447" s="996">
        <f t="shared" si="135"/>
        <v>115.8047036435793</v>
      </c>
      <c r="Z447" s="996">
        <f t="shared" si="135"/>
        <v>116.38381058778323</v>
      </c>
      <c r="AA447" s="996">
        <f t="shared" si="135"/>
        <v>116.1296564568031</v>
      </c>
      <c r="AB447" s="996">
        <f t="shared" si="135"/>
        <v>117.78726439327551</v>
      </c>
      <c r="AC447" s="996">
        <f t="shared" si="135"/>
        <v>120.05788931310809</v>
      </c>
      <c r="AD447" s="996">
        <f t="shared" si="135"/>
        <v>122.72583445617258</v>
      </c>
      <c r="AE447" s="996">
        <f t="shared" si="135"/>
        <v>128.71717275252979</v>
      </c>
      <c r="AF447" s="996">
        <f t="shared" si="135"/>
        <v>131.06917442199722</v>
      </c>
    </row>
    <row r="448" spans="1:32" s="1010" customFormat="1" ht="25.5" outlineLevel="5">
      <c r="A448" s="999"/>
      <c r="B448" s="999"/>
      <c r="C448" s="999"/>
      <c r="D448" s="1017">
        <f>+D446+1</f>
        <v>76</v>
      </c>
      <c r="E448" s="1026" t="s">
        <v>1951</v>
      </c>
      <c r="F448" s="988">
        <f>+'[11]7'!$P$25+'[11]7'!$P$26</f>
        <v>46705.0193</v>
      </c>
      <c r="G448" s="987">
        <v>9.431417094676809E-3</v>
      </c>
      <c r="H448" s="986">
        <f t="shared" ref="H448:H459" si="136">IF(H106=0,100,H106/H106*100)</f>
        <v>100</v>
      </c>
      <c r="I448" s="986">
        <f t="shared" ref="I448:AF448" si="137">IF(I106=0,100,I106/H106*H448)</f>
        <v>100</v>
      </c>
      <c r="J448" s="986">
        <f t="shared" si="137"/>
        <v>100</v>
      </c>
      <c r="K448" s="986">
        <f t="shared" si="137"/>
        <v>100</v>
      </c>
      <c r="L448" s="986">
        <f t="shared" si="137"/>
        <v>100</v>
      </c>
      <c r="M448" s="986">
        <f t="shared" si="137"/>
        <v>100</v>
      </c>
      <c r="N448" s="986">
        <f t="shared" si="137"/>
        <v>100</v>
      </c>
      <c r="O448" s="986">
        <f t="shared" si="137"/>
        <v>100</v>
      </c>
      <c r="P448" s="986">
        <f t="shared" si="137"/>
        <v>100</v>
      </c>
      <c r="Q448" s="986">
        <f t="shared" si="137"/>
        <v>100</v>
      </c>
      <c r="R448" s="986">
        <f t="shared" si="137"/>
        <v>100</v>
      </c>
      <c r="S448" s="986">
        <f t="shared" si="137"/>
        <v>108.69565217391303</v>
      </c>
      <c r="T448" s="986">
        <f t="shared" si="137"/>
        <v>108.69565217391303</v>
      </c>
      <c r="U448" s="986">
        <f t="shared" si="137"/>
        <v>76.086956521739111</v>
      </c>
      <c r="V448" s="986">
        <f t="shared" si="137"/>
        <v>80.434782608695627</v>
      </c>
      <c r="W448" s="986">
        <f t="shared" si="137"/>
        <v>80.434782608695627</v>
      </c>
      <c r="X448" s="986">
        <f t="shared" si="137"/>
        <v>86.956521739130409</v>
      </c>
      <c r="Y448" s="986">
        <f t="shared" si="137"/>
        <v>86.956521739130409</v>
      </c>
      <c r="Z448" s="986">
        <f t="shared" si="137"/>
        <v>86.956521739130409</v>
      </c>
      <c r="AA448" s="986">
        <f t="shared" si="137"/>
        <v>86.956521739130409</v>
      </c>
      <c r="AB448" s="986">
        <f t="shared" si="137"/>
        <v>86.956521739130409</v>
      </c>
      <c r="AC448" s="986">
        <f t="shared" si="137"/>
        <v>86.956521739130409</v>
      </c>
      <c r="AD448" s="986">
        <f t="shared" si="137"/>
        <v>91.304347826086939</v>
      </c>
      <c r="AE448" s="986">
        <f t="shared" si="137"/>
        <v>100.72463768115941</v>
      </c>
      <c r="AF448" s="986">
        <f t="shared" si="137"/>
        <v>103.62318840579707</v>
      </c>
    </row>
    <row r="449" spans="1:32" s="1010" customFormat="1" outlineLevel="5">
      <c r="A449" s="999"/>
      <c r="B449" s="999"/>
      <c r="C449" s="999"/>
      <c r="D449" s="1017">
        <f t="shared" ref="D449:D459" si="138">+D448+1</f>
        <v>77</v>
      </c>
      <c r="E449" s="1014" t="s">
        <v>1950</v>
      </c>
      <c r="F449" s="988">
        <f>+'[11]7'!$P$24+'[11]7'!$P$27+'[11]7'!$P$31</f>
        <v>28681.037759999999</v>
      </c>
      <c r="G449" s="987">
        <v>5.7917293232493117E-3</v>
      </c>
      <c r="H449" s="986">
        <f t="shared" si="136"/>
        <v>100</v>
      </c>
      <c r="I449" s="986">
        <f t="shared" ref="I449:AF449" si="139">IF(I107=0,100,I107/H107*H449)</f>
        <v>100</v>
      </c>
      <c r="J449" s="986">
        <f t="shared" si="139"/>
        <v>103.2258064516129</v>
      </c>
      <c r="K449" s="986">
        <f t="shared" si="139"/>
        <v>103.2258064516129</v>
      </c>
      <c r="L449" s="986">
        <f t="shared" si="139"/>
        <v>103.2258064516129</v>
      </c>
      <c r="M449" s="986">
        <f t="shared" si="139"/>
        <v>103.2258064516129</v>
      </c>
      <c r="N449" s="986">
        <f t="shared" si="139"/>
        <v>103.2258064516129</v>
      </c>
      <c r="O449" s="986">
        <f t="shared" si="139"/>
        <v>103.2258064516129</v>
      </c>
      <c r="P449" s="986">
        <f t="shared" si="139"/>
        <v>103.2258064516129</v>
      </c>
      <c r="Q449" s="986">
        <f t="shared" si="139"/>
        <v>103.2258064516129</v>
      </c>
      <c r="R449" s="986">
        <f t="shared" si="139"/>
        <v>103.2258064516129</v>
      </c>
      <c r="S449" s="986">
        <f t="shared" si="139"/>
        <v>103.2258064516129</v>
      </c>
      <c r="T449" s="986">
        <f t="shared" si="139"/>
        <v>103.2258064516129</v>
      </c>
      <c r="U449" s="986">
        <f t="shared" si="139"/>
        <v>112.9032258064516</v>
      </c>
      <c r="V449" s="986">
        <f t="shared" si="139"/>
        <v>119.35483870967741</v>
      </c>
      <c r="W449" s="986">
        <f t="shared" si="139"/>
        <v>129.03225806451613</v>
      </c>
      <c r="X449" s="986">
        <f t="shared" si="139"/>
        <v>135.48387096774195</v>
      </c>
      <c r="Y449" s="986">
        <f t="shared" si="139"/>
        <v>135.48387096774195</v>
      </c>
      <c r="Z449" s="986">
        <f t="shared" si="139"/>
        <v>135.48387096774195</v>
      </c>
      <c r="AA449" s="986">
        <f t="shared" si="139"/>
        <v>145.16129032258067</v>
      </c>
      <c r="AB449" s="986">
        <f t="shared" si="139"/>
        <v>145.16129032258067</v>
      </c>
      <c r="AC449" s="986">
        <f t="shared" si="139"/>
        <v>158.06451612903226</v>
      </c>
      <c r="AD449" s="986">
        <f t="shared" si="139"/>
        <v>158.06451612903226</v>
      </c>
      <c r="AE449" s="986">
        <f t="shared" si="139"/>
        <v>167.74193548387098</v>
      </c>
      <c r="AF449" s="986">
        <f t="shared" si="139"/>
        <v>167.74193548387098</v>
      </c>
    </row>
    <row r="450" spans="1:32" s="1010" customFormat="1" outlineLevel="5">
      <c r="A450" s="999"/>
      <c r="B450" s="999"/>
      <c r="C450" s="999"/>
      <c r="D450" s="1017">
        <f t="shared" si="138"/>
        <v>78</v>
      </c>
      <c r="E450" s="1014" t="s">
        <v>1949</v>
      </c>
      <c r="F450" s="988">
        <f>+'[11]7'!$P$28+'[11]7'!$P$33</f>
        <v>17162.53959</v>
      </c>
      <c r="G450" s="987">
        <v>3.4657317715141916E-3</v>
      </c>
      <c r="H450" s="986">
        <f t="shared" si="136"/>
        <v>100</v>
      </c>
      <c r="I450" s="986">
        <f t="shared" ref="I450:AF450" si="140">IF(I108=0,100,I108/H108*H450)</f>
        <v>100</v>
      </c>
      <c r="J450" s="986">
        <f t="shared" si="140"/>
        <v>100</v>
      </c>
      <c r="K450" s="986">
        <f t="shared" si="140"/>
        <v>100</v>
      </c>
      <c r="L450" s="986">
        <f t="shared" si="140"/>
        <v>100</v>
      </c>
      <c r="M450" s="986">
        <f t="shared" si="140"/>
        <v>100</v>
      </c>
      <c r="N450" s="986">
        <f t="shared" si="140"/>
        <v>100</v>
      </c>
      <c r="O450" s="986">
        <f t="shared" si="140"/>
        <v>100</v>
      </c>
      <c r="P450" s="986">
        <f t="shared" si="140"/>
        <v>100</v>
      </c>
      <c r="Q450" s="986">
        <f t="shared" si="140"/>
        <v>100</v>
      </c>
      <c r="R450" s="986">
        <f t="shared" si="140"/>
        <v>100</v>
      </c>
      <c r="S450" s="986">
        <f t="shared" si="140"/>
        <v>100</v>
      </c>
      <c r="T450" s="986">
        <f t="shared" si="140"/>
        <v>100</v>
      </c>
      <c r="U450" s="986">
        <f t="shared" si="140"/>
        <v>105.55555555555556</v>
      </c>
      <c r="V450" s="986">
        <f t="shared" si="140"/>
        <v>111.1111111111111</v>
      </c>
      <c r="W450" s="986">
        <f t="shared" si="140"/>
        <v>111.1111111111111</v>
      </c>
      <c r="X450" s="986">
        <f t="shared" si="140"/>
        <v>111.1111111111111</v>
      </c>
      <c r="Y450" s="986">
        <f t="shared" si="140"/>
        <v>124.99999999999999</v>
      </c>
      <c r="Z450" s="986">
        <f t="shared" si="140"/>
        <v>133.33333333333331</v>
      </c>
      <c r="AA450" s="986">
        <f t="shared" si="140"/>
        <v>133.33333333333331</v>
      </c>
      <c r="AB450" s="986">
        <f t="shared" si="140"/>
        <v>124.99999999999999</v>
      </c>
      <c r="AC450" s="986">
        <f t="shared" si="140"/>
        <v>136.11111111111109</v>
      </c>
      <c r="AD450" s="986">
        <f t="shared" si="140"/>
        <v>136.11111111111109</v>
      </c>
      <c r="AE450" s="986">
        <f t="shared" si="140"/>
        <v>141.66666666666666</v>
      </c>
      <c r="AF450" s="986">
        <f t="shared" si="140"/>
        <v>141.66666666666666</v>
      </c>
    </row>
    <row r="451" spans="1:32" s="1010" customFormat="1" outlineLevel="5">
      <c r="A451" s="999"/>
      <c r="B451" s="999"/>
      <c r="C451" s="999"/>
      <c r="D451" s="1017">
        <f t="shared" si="138"/>
        <v>79</v>
      </c>
      <c r="E451" s="1014" t="s">
        <v>1948</v>
      </c>
      <c r="F451" s="988">
        <f>+'[11]7'!$P$29</f>
        <v>22605.984899999999</v>
      </c>
      <c r="G451" s="987">
        <v>4.5649584482211278E-3</v>
      </c>
      <c r="H451" s="986">
        <f t="shared" si="136"/>
        <v>100</v>
      </c>
      <c r="I451" s="986">
        <f t="shared" ref="I451:AF451" si="141">IF(I109=0,100,I109/H109*H451)</f>
        <v>100</v>
      </c>
      <c r="J451" s="986">
        <f t="shared" si="141"/>
        <v>100</v>
      </c>
      <c r="K451" s="986">
        <f t="shared" si="141"/>
        <v>100</v>
      </c>
      <c r="L451" s="986">
        <f t="shared" si="141"/>
        <v>100</v>
      </c>
      <c r="M451" s="986">
        <f t="shared" si="141"/>
        <v>100</v>
      </c>
      <c r="N451" s="986">
        <f t="shared" si="141"/>
        <v>100</v>
      </c>
      <c r="O451" s="986">
        <f t="shared" si="141"/>
        <v>100</v>
      </c>
      <c r="P451" s="986">
        <f t="shared" si="141"/>
        <v>100</v>
      </c>
      <c r="Q451" s="986">
        <f t="shared" si="141"/>
        <v>100</v>
      </c>
      <c r="R451" s="986">
        <f t="shared" si="141"/>
        <v>100</v>
      </c>
      <c r="S451" s="986">
        <f t="shared" si="141"/>
        <v>100</v>
      </c>
      <c r="T451" s="986">
        <f t="shared" si="141"/>
        <v>100</v>
      </c>
      <c r="U451" s="986">
        <f t="shared" si="141"/>
        <v>104.76190476190477</v>
      </c>
      <c r="V451" s="986">
        <f t="shared" si="141"/>
        <v>119.04761904761907</v>
      </c>
      <c r="W451" s="986">
        <f t="shared" si="141"/>
        <v>119.04761904761907</v>
      </c>
      <c r="X451" s="986">
        <f t="shared" si="141"/>
        <v>119.04761904761907</v>
      </c>
      <c r="Y451" s="986">
        <f t="shared" si="141"/>
        <v>119.04761904761907</v>
      </c>
      <c r="Z451" s="986">
        <f t="shared" si="141"/>
        <v>119.04761904761907</v>
      </c>
      <c r="AA451" s="986">
        <f t="shared" si="141"/>
        <v>119.04761904761907</v>
      </c>
      <c r="AB451" s="986">
        <f t="shared" si="141"/>
        <v>119.04761904761907</v>
      </c>
      <c r="AC451" s="986">
        <f t="shared" si="141"/>
        <v>119.04761904761907</v>
      </c>
      <c r="AD451" s="986">
        <f t="shared" si="141"/>
        <v>119.04761904761907</v>
      </c>
      <c r="AE451" s="986">
        <f t="shared" si="141"/>
        <v>128.57142857142861</v>
      </c>
      <c r="AF451" s="986">
        <f t="shared" si="141"/>
        <v>128.57142857142861</v>
      </c>
    </row>
    <row r="452" spans="1:32" s="1010" customFormat="1" outlineLevel="5">
      <c r="A452" s="999"/>
      <c r="B452" s="999"/>
      <c r="C452" s="999"/>
      <c r="D452" s="1017">
        <f t="shared" si="138"/>
        <v>80</v>
      </c>
      <c r="E452" s="1026" t="s">
        <v>1947</v>
      </c>
      <c r="F452" s="988">
        <f>+'[11]7'!$P$30+'[11]7'!$P$36</f>
        <v>29639.857500000006</v>
      </c>
      <c r="G452" s="987">
        <v>5.9853493885460123E-3</v>
      </c>
      <c r="H452" s="986">
        <f t="shared" si="136"/>
        <v>100</v>
      </c>
      <c r="I452" s="986">
        <f t="shared" ref="I452:AF452" si="142">IF(I110=0,100,I110/H110*H452)</f>
        <v>100</v>
      </c>
      <c r="J452" s="986">
        <f t="shared" si="142"/>
        <v>100</v>
      </c>
      <c r="K452" s="986">
        <f t="shared" si="142"/>
        <v>100</v>
      </c>
      <c r="L452" s="986">
        <f t="shared" si="142"/>
        <v>100</v>
      </c>
      <c r="M452" s="986">
        <f t="shared" si="142"/>
        <v>100</v>
      </c>
      <c r="N452" s="986">
        <f t="shared" si="142"/>
        <v>100</v>
      </c>
      <c r="O452" s="986">
        <f t="shared" si="142"/>
        <v>100</v>
      </c>
      <c r="P452" s="986">
        <f t="shared" si="142"/>
        <v>100</v>
      </c>
      <c r="Q452" s="986">
        <f t="shared" si="142"/>
        <v>100</v>
      </c>
      <c r="R452" s="986">
        <f t="shared" si="142"/>
        <v>100</v>
      </c>
      <c r="S452" s="986">
        <f t="shared" si="142"/>
        <v>100</v>
      </c>
      <c r="T452" s="986">
        <f t="shared" si="142"/>
        <v>100</v>
      </c>
      <c r="U452" s="986">
        <f t="shared" si="142"/>
        <v>112.67605633802818</v>
      </c>
      <c r="V452" s="986">
        <f t="shared" si="142"/>
        <v>112.67605633802818</v>
      </c>
      <c r="W452" s="986">
        <f t="shared" si="142"/>
        <v>123.94366197183101</v>
      </c>
      <c r="X452" s="986">
        <f t="shared" si="142"/>
        <v>123.94366197183101</v>
      </c>
      <c r="Y452" s="986">
        <f t="shared" si="142"/>
        <v>123.94366197183101</v>
      </c>
      <c r="Z452" s="986">
        <f t="shared" si="142"/>
        <v>123.94366197183101</v>
      </c>
      <c r="AA452" s="986">
        <f t="shared" si="142"/>
        <v>123.94366197183101</v>
      </c>
      <c r="AB452" s="986">
        <f t="shared" si="142"/>
        <v>123.94366197183101</v>
      </c>
      <c r="AC452" s="986">
        <f t="shared" si="142"/>
        <v>123.94366197183101</v>
      </c>
      <c r="AD452" s="986">
        <f t="shared" si="142"/>
        <v>129.57746478873241</v>
      </c>
      <c r="AE452" s="986">
        <f t="shared" si="142"/>
        <v>131.45539906103286</v>
      </c>
      <c r="AF452" s="986">
        <f t="shared" si="142"/>
        <v>131.45539906103286</v>
      </c>
    </row>
    <row r="453" spans="1:32" s="1010" customFormat="1" outlineLevel="5">
      <c r="A453" s="999"/>
      <c r="B453" s="999"/>
      <c r="C453" s="999"/>
      <c r="D453" s="1017">
        <f t="shared" si="138"/>
        <v>81</v>
      </c>
      <c r="E453" s="1014" t="s">
        <v>1946</v>
      </c>
      <c r="F453" s="988">
        <f>+'[11]7'!$P$32</f>
        <v>10488.2358</v>
      </c>
      <c r="G453" s="987">
        <v>2.1179506592586142E-3</v>
      </c>
      <c r="H453" s="986">
        <f t="shared" si="136"/>
        <v>100</v>
      </c>
      <c r="I453" s="986">
        <f t="shared" ref="I453:AF453" si="143">IF(I111=0,100,I111/H111*H453)</f>
        <v>100</v>
      </c>
      <c r="J453" s="986">
        <f t="shared" si="143"/>
        <v>100</v>
      </c>
      <c r="K453" s="986">
        <f t="shared" si="143"/>
        <v>100</v>
      </c>
      <c r="L453" s="986">
        <f t="shared" si="143"/>
        <v>100</v>
      </c>
      <c r="M453" s="986">
        <f t="shared" si="143"/>
        <v>100</v>
      </c>
      <c r="N453" s="986">
        <f t="shared" si="143"/>
        <v>100</v>
      </c>
      <c r="O453" s="986">
        <f t="shared" si="143"/>
        <v>100</v>
      </c>
      <c r="P453" s="986">
        <f t="shared" si="143"/>
        <v>100</v>
      </c>
      <c r="Q453" s="986">
        <f t="shared" si="143"/>
        <v>100</v>
      </c>
      <c r="R453" s="986">
        <f t="shared" si="143"/>
        <v>100</v>
      </c>
      <c r="S453" s="986">
        <f t="shared" si="143"/>
        <v>105.26315789473684</v>
      </c>
      <c r="T453" s="986">
        <f t="shared" si="143"/>
        <v>105.26315789473684</v>
      </c>
      <c r="U453" s="986">
        <f t="shared" si="143"/>
        <v>115.78947368421053</v>
      </c>
      <c r="V453" s="986">
        <f t="shared" si="143"/>
        <v>115.78947368421053</v>
      </c>
      <c r="W453" s="986">
        <f t="shared" si="143"/>
        <v>131.57894736842107</v>
      </c>
      <c r="X453" s="986">
        <f t="shared" si="143"/>
        <v>131.57894736842107</v>
      </c>
      <c r="Y453" s="986">
        <f t="shared" si="143"/>
        <v>131.57894736842107</v>
      </c>
      <c r="Z453" s="986">
        <f t="shared" si="143"/>
        <v>131.57894736842107</v>
      </c>
      <c r="AA453" s="986">
        <f t="shared" si="143"/>
        <v>131.57894736842107</v>
      </c>
      <c r="AB453" s="986">
        <f t="shared" si="143"/>
        <v>131.57894736842107</v>
      </c>
      <c r="AC453" s="986">
        <f t="shared" si="143"/>
        <v>131.57894736842107</v>
      </c>
      <c r="AD453" s="986">
        <f t="shared" si="143"/>
        <v>131.57894736842107</v>
      </c>
      <c r="AE453" s="986">
        <f t="shared" si="143"/>
        <v>133.33333333333334</v>
      </c>
      <c r="AF453" s="986">
        <f t="shared" si="143"/>
        <v>133.33333333333334</v>
      </c>
    </row>
    <row r="454" spans="1:32" s="1010" customFormat="1" outlineLevel="5">
      <c r="A454" s="999"/>
      <c r="B454" s="999"/>
      <c r="C454" s="999"/>
      <c r="D454" s="1017">
        <f t="shared" si="138"/>
        <v>82</v>
      </c>
      <c r="E454" s="1026" t="s">
        <v>1945</v>
      </c>
      <c r="F454" s="988">
        <f>+'[11]7'!$P$35*0.7</f>
        <v>34032.648999999998</v>
      </c>
      <c r="G454" s="987">
        <v>6.8724114103028665E-3</v>
      </c>
      <c r="H454" s="986">
        <f t="shared" si="136"/>
        <v>100</v>
      </c>
      <c r="I454" s="986">
        <f t="shared" ref="I454:AF454" si="144">IF(I112=0,100,I112/H112*H454)</f>
        <v>100</v>
      </c>
      <c r="J454" s="986">
        <f t="shared" si="144"/>
        <v>100</v>
      </c>
      <c r="K454" s="986">
        <f t="shared" si="144"/>
        <v>95</v>
      </c>
      <c r="L454" s="986">
        <f t="shared" si="144"/>
        <v>95</v>
      </c>
      <c r="M454" s="986">
        <f t="shared" si="144"/>
        <v>95</v>
      </c>
      <c r="N454" s="986">
        <f t="shared" si="144"/>
        <v>95</v>
      </c>
      <c r="O454" s="986">
        <f t="shared" si="144"/>
        <v>95</v>
      </c>
      <c r="P454" s="986">
        <f t="shared" si="144"/>
        <v>95</v>
      </c>
      <c r="Q454" s="986">
        <f t="shared" si="144"/>
        <v>105.00000000000001</v>
      </c>
      <c r="R454" s="986">
        <f t="shared" si="144"/>
        <v>105.00000000000001</v>
      </c>
      <c r="S454" s="986">
        <f t="shared" si="144"/>
        <v>105.00000000000001</v>
      </c>
      <c r="T454" s="986">
        <f t="shared" si="144"/>
        <v>105.00000000000001</v>
      </c>
      <c r="U454" s="986">
        <f t="shared" si="144"/>
        <v>105.00000000000001</v>
      </c>
      <c r="V454" s="986">
        <f t="shared" si="144"/>
        <v>110.00000000000001</v>
      </c>
      <c r="W454" s="986">
        <f t="shared" si="144"/>
        <v>110.00000000000001</v>
      </c>
      <c r="X454" s="986">
        <f t="shared" si="144"/>
        <v>110.00000000000001</v>
      </c>
      <c r="Y454" s="986">
        <f t="shared" si="144"/>
        <v>110.00000000000001</v>
      </c>
      <c r="Z454" s="986">
        <f t="shared" si="144"/>
        <v>110.00000000000001</v>
      </c>
      <c r="AA454" s="986">
        <f t="shared" si="144"/>
        <v>100.00000000000001</v>
      </c>
      <c r="AB454" s="986">
        <f t="shared" si="144"/>
        <v>110.00000000000003</v>
      </c>
      <c r="AC454" s="986">
        <f t="shared" si="144"/>
        <v>110.00000000000003</v>
      </c>
      <c r="AD454" s="986">
        <f t="shared" si="144"/>
        <v>110.00000000000003</v>
      </c>
      <c r="AE454" s="986">
        <f t="shared" si="144"/>
        <v>110.00000000000003</v>
      </c>
      <c r="AF454" s="986">
        <f t="shared" si="144"/>
        <v>116.66666666666669</v>
      </c>
    </row>
    <row r="455" spans="1:32" s="1010" customFormat="1" outlineLevel="5">
      <c r="A455" s="999"/>
      <c r="B455" s="999"/>
      <c r="C455" s="999"/>
      <c r="D455" s="1017">
        <f t="shared" si="138"/>
        <v>83</v>
      </c>
      <c r="E455" s="1014" t="s">
        <v>1944</v>
      </c>
      <c r="F455" s="988">
        <f>+'[11]7'!$P$35-F454</f>
        <v>14585.421000000002</v>
      </c>
      <c r="G455" s="987">
        <v>2.9453191758440863E-3</v>
      </c>
      <c r="H455" s="986">
        <f t="shared" si="136"/>
        <v>100</v>
      </c>
      <c r="I455" s="986">
        <f t="shared" ref="I455:AF455" si="145">IF(I113=0,100,I113/H113*H455)</f>
        <v>100</v>
      </c>
      <c r="J455" s="986">
        <f t="shared" si="145"/>
        <v>100</v>
      </c>
      <c r="K455" s="986">
        <f t="shared" si="145"/>
        <v>100</v>
      </c>
      <c r="L455" s="986">
        <f t="shared" si="145"/>
        <v>100</v>
      </c>
      <c r="M455" s="986">
        <f t="shared" si="145"/>
        <v>100</v>
      </c>
      <c r="N455" s="986">
        <f t="shared" si="145"/>
        <v>100</v>
      </c>
      <c r="O455" s="986">
        <f t="shared" si="145"/>
        <v>100</v>
      </c>
      <c r="P455" s="986">
        <f t="shared" si="145"/>
        <v>100</v>
      </c>
      <c r="Q455" s="986">
        <f t="shared" si="145"/>
        <v>100</v>
      </c>
      <c r="R455" s="986">
        <f t="shared" si="145"/>
        <v>100</v>
      </c>
      <c r="S455" s="986">
        <f t="shared" si="145"/>
        <v>100</v>
      </c>
      <c r="T455" s="986">
        <f t="shared" si="145"/>
        <v>100</v>
      </c>
      <c r="U455" s="986">
        <f t="shared" si="145"/>
        <v>113.50737797956867</v>
      </c>
      <c r="V455" s="986">
        <f t="shared" si="145"/>
        <v>129.72271769093561</v>
      </c>
      <c r="W455" s="986">
        <f t="shared" si="145"/>
        <v>129.72271769093561</v>
      </c>
      <c r="X455" s="986">
        <f t="shared" si="145"/>
        <v>129.72271769093561</v>
      </c>
      <c r="Y455" s="986">
        <f t="shared" si="145"/>
        <v>129.72271769093561</v>
      </c>
      <c r="Z455" s="986">
        <f t="shared" si="145"/>
        <v>129.72271769093561</v>
      </c>
      <c r="AA455" s="986">
        <f t="shared" si="145"/>
        <v>129.72271769093561</v>
      </c>
      <c r="AB455" s="986">
        <f t="shared" si="145"/>
        <v>129.72271769093561</v>
      </c>
      <c r="AC455" s="986">
        <f t="shared" si="145"/>
        <v>129.72271769093561</v>
      </c>
      <c r="AD455" s="986">
        <f t="shared" si="145"/>
        <v>129.72271769093561</v>
      </c>
      <c r="AE455" s="986">
        <f t="shared" si="145"/>
        <v>129.72271769093561</v>
      </c>
      <c r="AF455" s="986">
        <f t="shared" si="145"/>
        <v>140.53294416518023</v>
      </c>
    </row>
    <row r="456" spans="1:32" s="1010" customFormat="1" outlineLevel="5">
      <c r="A456" s="999"/>
      <c r="B456" s="999"/>
      <c r="C456" s="999"/>
      <c r="D456" s="1017">
        <f t="shared" si="138"/>
        <v>84</v>
      </c>
      <c r="E456" s="1014" t="s">
        <v>1943</v>
      </c>
      <c r="F456" s="988">
        <f>+'[11]7'!$P$37*0.6</f>
        <v>12724.295399999999</v>
      </c>
      <c r="G456" s="987">
        <v>2.569491222826183E-3</v>
      </c>
      <c r="H456" s="986">
        <f t="shared" si="136"/>
        <v>100</v>
      </c>
      <c r="I456" s="986">
        <f t="shared" ref="I456:AF456" si="146">IF(I114=0,100,I114/H114*H456)</f>
        <v>100</v>
      </c>
      <c r="J456" s="986">
        <f t="shared" si="146"/>
        <v>100</v>
      </c>
      <c r="K456" s="986">
        <f t="shared" si="146"/>
        <v>91.133528006371122</v>
      </c>
      <c r="L456" s="986">
        <f t="shared" si="146"/>
        <v>91.133528006371122</v>
      </c>
      <c r="M456" s="986">
        <f t="shared" si="146"/>
        <v>91.133528006371122</v>
      </c>
      <c r="N456" s="986">
        <f t="shared" si="146"/>
        <v>91.133528006371122</v>
      </c>
      <c r="O456" s="986">
        <f t="shared" si="146"/>
        <v>91.133528006371122</v>
      </c>
      <c r="P456" s="986">
        <f t="shared" si="146"/>
        <v>91.133528006371122</v>
      </c>
      <c r="Q456" s="986">
        <f t="shared" si="146"/>
        <v>95.566764003185554</v>
      </c>
      <c r="R456" s="986">
        <f t="shared" si="146"/>
        <v>95.566764003185554</v>
      </c>
      <c r="S456" s="986">
        <f t="shared" si="146"/>
        <v>95.566764003185554</v>
      </c>
      <c r="T456" s="986">
        <f t="shared" si="146"/>
        <v>95.566764003185554</v>
      </c>
      <c r="U456" s="986">
        <f t="shared" si="146"/>
        <v>106.18529333687285</v>
      </c>
      <c r="V456" s="986">
        <f t="shared" si="146"/>
        <v>106.18529333687285</v>
      </c>
      <c r="W456" s="986">
        <f t="shared" si="146"/>
        <v>119.45845500398195</v>
      </c>
      <c r="X456" s="986">
        <f t="shared" si="146"/>
        <v>119.45845500398195</v>
      </c>
      <c r="Y456" s="986">
        <f t="shared" si="146"/>
        <v>119.45845500398195</v>
      </c>
      <c r="Z456" s="986">
        <f t="shared" si="146"/>
        <v>119.45845500398195</v>
      </c>
      <c r="AA456" s="986">
        <f t="shared" si="146"/>
        <v>119.45845500398195</v>
      </c>
      <c r="AB456" s="986">
        <f t="shared" si="146"/>
        <v>119.45845500398195</v>
      </c>
      <c r="AC456" s="986">
        <f t="shared" si="146"/>
        <v>119.45845500398195</v>
      </c>
      <c r="AD456" s="986">
        <f t="shared" si="146"/>
        <v>119.45845500398195</v>
      </c>
      <c r="AE456" s="986">
        <f t="shared" si="146"/>
        <v>126.53747455977349</v>
      </c>
      <c r="AF456" s="986">
        <f t="shared" si="146"/>
        <v>126.53747455977349</v>
      </c>
    </row>
    <row r="457" spans="1:32" s="1010" customFormat="1" outlineLevel="5">
      <c r="A457" s="999"/>
      <c r="B457" s="999"/>
      <c r="C457" s="999"/>
      <c r="D457" s="1017">
        <f t="shared" si="138"/>
        <v>85</v>
      </c>
      <c r="E457" s="1014" t="s">
        <v>1942</v>
      </c>
      <c r="F457" s="988">
        <f>+'[11]7'!$P$37*0.4</f>
        <v>8482.8636000000006</v>
      </c>
      <c r="G457" s="987">
        <v>1.7129941485507889E-3</v>
      </c>
      <c r="H457" s="986">
        <f t="shared" si="136"/>
        <v>100</v>
      </c>
      <c r="I457" s="986">
        <f t="shared" ref="I457:AF457" si="147">IF(I115=0,100,I115/H115*H457)</f>
        <v>100</v>
      </c>
      <c r="J457" s="986">
        <f t="shared" si="147"/>
        <v>100</v>
      </c>
      <c r="K457" s="986">
        <f t="shared" si="147"/>
        <v>103.35000000000001</v>
      </c>
      <c r="L457" s="986">
        <f t="shared" si="147"/>
        <v>103.35000000000001</v>
      </c>
      <c r="M457" s="986">
        <f t="shared" si="147"/>
        <v>103.35000000000001</v>
      </c>
      <c r="N457" s="986">
        <f t="shared" si="147"/>
        <v>103.35000000000001</v>
      </c>
      <c r="O457" s="986">
        <f t="shared" si="147"/>
        <v>103.35000000000001</v>
      </c>
      <c r="P457" s="986">
        <f t="shared" si="147"/>
        <v>103.35000000000001</v>
      </c>
      <c r="Q457" s="986">
        <f t="shared" si="147"/>
        <v>103.35000000000001</v>
      </c>
      <c r="R457" s="986">
        <f t="shared" si="147"/>
        <v>103.35000000000001</v>
      </c>
      <c r="S457" s="986">
        <f t="shared" si="147"/>
        <v>103.35000000000001</v>
      </c>
      <c r="T457" s="986">
        <f t="shared" si="147"/>
        <v>103.35000000000001</v>
      </c>
      <c r="U457" s="986">
        <f t="shared" si="147"/>
        <v>110</v>
      </c>
      <c r="V457" s="986">
        <f t="shared" si="147"/>
        <v>125.00000000000001</v>
      </c>
      <c r="W457" s="986">
        <f t="shared" si="147"/>
        <v>125.00000000000001</v>
      </c>
      <c r="X457" s="986">
        <f t="shared" si="147"/>
        <v>150</v>
      </c>
      <c r="Y457" s="986">
        <f t="shared" si="147"/>
        <v>150</v>
      </c>
      <c r="Z457" s="986">
        <f t="shared" si="147"/>
        <v>150</v>
      </c>
      <c r="AA457" s="986">
        <f t="shared" si="147"/>
        <v>150</v>
      </c>
      <c r="AB457" s="986">
        <f t="shared" si="147"/>
        <v>175</v>
      </c>
      <c r="AC457" s="986">
        <f t="shared" si="147"/>
        <v>175</v>
      </c>
      <c r="AD457" s="986">
        <f t="shared" si="147"/>
        <v>187.5</v>
      </c>
      <c r="AE457" s="986">
        <f t="shared" si="147"/>
        <v>187.5</v>
      </c>
      <c r="AF457" s="986">
        <f t="shared" si="147"/>
        <v>187.5</v>
      </c>
    </row>
    <row r="458" spans="1:32" s="1010" customFormat="1" outlineLevel="5">
      <c r="A458" s="999"/>
      <c r="B458" s="999"/>
      <c r="C458" s="999"/>
      <c r="D458" s="1017">
        <f t="shared" si="138"/>
        <v>86</v>
      </c>
      <c r="E458" s="1014" t="s">
        <v>1941</v>
      </c>
      <c r="F458" s="988">
        <f>+'[11]7'!$P$39</f>
        <v>5407.4847999999993</v>
      </c>
      <c r="G458" s="987">
        <v>1.0919649610748581E-3</v>
      </c>
      <c r="H458" s="986">
        <f t="shared" si="136"/>
        <v>100</v>
      </c>
      <c r="I458" s="986">
        <f t="shared" ref="I458:AF458" si="148">IF(I116=0,100,I116/H116*H458)</f>
        <v>100</v>
      </c>
      <c r="J458" s="986">
        <f t="shared" si="148"/>
        <v>100</v>
      </c>
      <c r="K458" s="986">
        <f t="shared" si="148"/>
        <v>100</v>
      </c>
      <c r="L458" s="986">
        <f t="shared" si="148"/>
        <v>100</v>
      </c>
      <c r="M458" s="986">
        <f t="shared" si="148"/>
        <v>108.61290322580646</v>
      </c>
      <c r="N458" s="986">
        <f t="shared" si="148"/>
        <v>108.61290322580646</v>
      </c>
      <c r="O458" s="986">
        <f t="shared" si="148"/>
        <v>108.61290322580646</v>
      </c>
      <c r="P458" s="986">
        <f t="shared" si="148"/>
        <v>108.61290322580646</v>
      </c>
      <c r="Q458" s="986">
        <f t="shared" si="148"/>
        <v>108.61290322580646</v>
      </c>
      <c r="R458" s="986">
        <f t="shared" si="148"/>
        <v>134.41935483870969</v>
      </c>
      <c r="S458" s="986">
        <f t="shared" si="148"/>
        <v>134.41935483870969</v>
      </c>
      <c r="T458" s="986">
        <f t="shared" si="148"/>
        <v>134.41935483870969</v>
      </c>
      <c r="U458" s="986">
        <f t="shared" si="148"/>
        <v>145.16129032258064</v>
      </c>
      <c r="V458" s="986">
        <f t="shared" si="148"/>
        <v>145.16129032258064</v>
      </c>
      <c r="W458" s="986">
        <f t="shared" si="148"/>
        <v>161.29032258064515</v>
      </c>
      <c r="X458" s="986">
        <f t="shared" si="148"/>
        <v>161.29032258064515</v>
      </c>
      <c r="Y458" s="986">
        <f t="shared" si="148"/>
        <v>161.29032258064515</v>
      </c>
      <c r="Z458" s="986">
        <f t="shared" si="148"/>
        <v>161.29032258064515</v>
      </c>
      <c r="AA458" s="986">
        <f t="shared" si="148"/>
        <v>161.29032258064515</v>
      </c>
      <c r="AB458" s="986">
        <f t="shared" si="148"/>
        <v>161.29032258064515</v>
      </c>
      <c r="AC458" s="986">
        <f t="shared" si="148"/>
        <v>161.29032258064515</v>
      </c>
      <c r="AD458" s="986">
        <f t="shared" si="148"/>
        <v>161.29032258064515</v>
      </c>
      <c r="AE458" s="986">
        <f t="shared" si="148"/>
        <v>169.35483870967741</v>
      </c>
      <c r="AF458" s="986">
        <f t="shared" si="148"/>
        <v>169.35483870967741</v>
      </c>
    </row>
    <row r="459" spans="1:32" s="1010" customFormat="1" outlineLevel="5">
      <c r="A459" s="999"/>
      <c r="B459" s="999"/>
      <c r="C459" s="999"/>
      <c r="D459" s="1017">
        <f t="shared" si="138"/>
        <v>87</v>
      </c>
      <c r="E459" s="1014" t="s">
        <v>1940</v>
      </c>
      <c r="F459" s="988">
        <f>+'[11]7'!$P$38+'[11]7'!$P$40</f>
        <v>16453.09391</v>
      </c>
      <c r="G459" s="987">
        <v>3.3224692653771562E-3</v>
      </c>
      <c r="H459" s="986">
        <f t="shared" si="136"/>
        <v>100</v>
      </c>
      <c r="I459" s="986">
        <f t="shared" ref="I459:AF459" si="149">IF(I117=0,100,I117/H117*H459)</f>
        <v>100</v>
      </c>
      <c r="J459" s="986">
        <f t="shared" si="149"/>
        <v>88.888888888888886</v>
      </c>
      <c r="K459" s="986">
        <f t="shared" si="149"/>
        <v>81.444444444444443</v>
      </c>
      <c r="L459" s="986">
        <f t="shared" si="149"/>
        <v>81.444444444444443</v>
      </c>
      <c r="M459" s="986">
        <f t="shared" si="149"/>
        <v>81.444444444444443</v>
      </c>
      <c r="N459" s="986">
        <f t="shared" si="149"/>
        <v>81.444444444444443</v>
      </c>
      <c r="O459" s="986">
        <f t="shared" si="149"/>
        <v>81.444444444444443</v>
      </c>
      <c r="P459" s="986">
        <f t="shared" si="149"/>
        <v>81.444444444444443</v>
      </c>
      <c r="Q459" s="986">
        <f t="shared" si="149"/>
        <v>81.444444444444443</v>
      </c>
      <c r="R459" s="986">
        <f t="shared" si="149"/>
        <v>81.444444444444443</v>
      </c>
      <c r="S459" s="986">
        <f t="shared" si="149"/>
        <v>81.444444444444443</v>
      </c>
      <c r="T459" s="986">
        <f t="shared" si="149"/>
        <v>81.444444444444443</v>
      </c>
      <c r="U459" s="986">
        <f t="shared" si="149"/>
        <v>88.888888888888886</v>
      </c>
      <c r="V459" s="986">
        <f t="shared" si="149"/>
        <v>88.888888888888886</v>
      </c>
      <c r="W459" s="986">
        <f t="shared" si="149"/>
        <v>88.888888888888886</v>
      </c>
      <c r="X459" s="986">
        <f t="shared" si="149"/>
        <v>88.888888888888886</v>
      </c>
      <c r="Y459" s="986">
        <f t="shared" si="149"/>
        <v>88.888888888888886</v>
      </c>
      <c r="Z459" s="986">
        <f t="shared" si="149"/>
        <v>88.888888888888886</v>
      </c>
      <c r="AA459" s="986">
        <f t="shared" si="149"/>
        <v>88.888888888888886</v>
      </c>
      <c r="AB459" s="986">
        <f t="shared" si="149"/>
        <v>88.888888888888886</v>
      </c>
      <c r="AC459" s="986">
        <f t="shared" si="149"/>
        <v>88.888888888888886</v>
      </c>
      <c r="AD459" s="986">
        <f t="shared" si="149"/>
        <v>100</v>
      </c>
      <c r="AE459" s="986">
        <f t="shared" si="149"/>
        <v>114.81481481481481</v>
      </c>
      <c r="AF459" s="986">
        <f t="shared" si="149"/>
        <v>118.51851851851853</v>
      </c>
    </row>
    <row r="460" spans="1:32" outlineLevel="4">
      <c r="A460" s="999"/>
      <c r="B460" s="999"/>
      <c r="C460" s="999"/>
      <c r="D460" s="999"/>
      <c r="E460" s="1042" t="s">
        <v>1939</v>
      </c>
      <c r="F460" s="998">
        <f>SUM(F461:F467)</f>
        <v>116520.57603</v>
      </c>
      <c r="G460" s="997">
        <v>2.3529679874277041E-2</v>
      </c>
      <c r="H460" s="996">
        <f t="shared" ref="H460:AF460" si="150">+SUMPRODUCT(H461:H467,$G461:$G467)/$G460</f>
        <v>100</v>
      </c>
      <c r="I460" s="996">
        <f t="shared" si="150"/>
        <v>103.46668400424404</v>
      </c>
      <c r="J460" s="996">
        <f t="shared" si="150"/>
        <v>97.708075336571952</v>
      </c>
      <c r="K460" s="996">
        <f t="shared" si="150"/>
        <v>97.708075336571952</v>
      </c>
      <c r="L460" s="996">
        <f t="shared" si="150"/>
        <v>97.708075336571952</v>
      </c>
      <c r="M460" s="996">
        <f t="shared" si="150"/>
        <v>97.708075336571952</v>
      </c>
      <c r="N460" s="996">
        <f t="shared" si="150"/>
        <v>98.231291995557655</v>
      </c>
      <c r="O460" s="996">
        <f t="shared" si="150"/>
        <v>98.231291995557655</v>
      </c>
      <c r="P460" s="996">
        <f t="shared" si="150"/>
        <v>98.231291995557655</v>
      </c>
      <c r="Q460" s="996">
        <f t="shared" si="150"/>
        <v>98.231291995557655</v>
      </c>
      <c r="R460" s="996">
        <f t="shared" si="150"/>
        <v>100.68692556351628</v>
      </c>
      <c r="S460" s="996">
        <f t="shared" si="150"/>
        <v>100.68692556351628</v>
      </c>
      <c r="T460" s="996">
        <f t="shared" si="150"/>
        <v>102.29554584043407</v>
      </c>
      <c r="U460" s="996">
        <f t="shared" si="150"/>
        <v>105.97081652436333</v>
      </c>
      <c r="V460" s="996">
        <f t="shared" si="150"/>
        <v>111.57600147444683</v>
      </c>
      <c r="W460" s="996">
        <f t="shared" si="150"/>
        <v>110.87399845748568</v>
      </c>
      <c r="X460" s="996">
        <f t="shared" si="150"/>
        <v>115.78526559340294</v>
      </c>
      <c r="Y460" s="996">
        <f t="shared" si="150"/>
        <v>116.27965715893355</v>
      </c>
      <c r="Z460" s="996">
        <f t="shared" si="150"/>
        <v>117.63568099962683</v>
      </c>
      <c r="AA460" s="996">
        <f t="shared" si="150"/>
        <v>120.90985909023833</v>
      </c>
      <c r="AB460" s="996">
        <f t="shared" si="150"/>
        <v>123.9635683366307</v>
      </c>
      <c r="AC460" s="996">
        <f t="shared" si="150"/>
        <v>128.27023513120579</v>
      </c>
      <c r="AD460" s="996">
        <f t="shared" si="150"/>
        <v>129.2132741064602</v>
      </c>
      <c r="AE460" s="996">
        <f t="shared" si="150"/>
        <v>129.43128104770423</v>
      </c>
      <c r="AF460" s="996">
        <f t="shared" si="150"/>
        <v>131.61335812417076</v>
      </c>
    </row>
    <row r="461" spans="1:32" s="1010" customFormat="1" outlineLevel="5">
      <c r="A461" s="999"/>
      <c r="B461" s="999"/>
      <c r="C461" s="999"/>
      <c r="D461" s="1017">
        <f>+D459+1</f>
        <v>88</v>
      </c>
      <c r="E461" s="1014" t="s">
        <v>1938</v>
      </c>
      <c r="F461" s="988">
        <f>+'[11]7'!$P$41+'[11]7'!$P$42+'[11]7'!$P$43+'[11]7'!$P$44+'[11]7'!$P$48+'[11]7'!$P$45+'[11]7'!$P$50</f>
        <v>36052.611570000001</v>
      </c>
      <c r="G461" s="987">
        <v>7.2803142395669864E-3</v>
      </c>
      <c r="H461" s="986">
        <f t="shared" ref="H461:H467" si="151">IF(H119=0,100,H119/H119*100)</f>
        <v>100</v>
      </c>
      <c r="I461" s="986">
        <f t="shared" ref="I461:AF461" si="152">IF(I119=0,100,I119/H119*H461)</f>
        <v>100.52910052910053</v>
      </c>
      <c r="J461" s="986">
        <f t="shared" si="152"/>
        <v>92.592592592592595</v>
      </c>
      <c r="K461" s="986">
        <f t="shared" si="152"/>
        <v>92.592592592592595</v>
      </c>
      <c r="L461" s="986">
        <f t="shared" si="152"/>
        <v>92.592592592592595</v>
      </c>
      <c r="M461" s="986">
        <f t="shared" si="152"/>
        <v>92.592592592592595</v>
      </c>
      <c r="N461" s="986">
        <f t="shared" si="152"/>
        <v>92.592592592592595</v>
      </c>
      <c r="O461" s="986">
        <f t="shared" si="152"/>
        <v>92.592592592592595</v>
      </c>
      <c r="P461" s="986">
        <f t="shared" si="152"/>
        <v>92.592592592592595</v>
      </c>
      <c r="Q461" s="986">
        <f t="shared" si="152"/>
        <v>92.592592592592595</v>
      </c>
      <c r="R461" s="986">
        <f t="shared" si="152"/>
        <v>100.52910052910052</v>
      </c>
      <c r="S461" s="986">
        <f t="shared" si="152"/>
        <v>100.52910052910052</v>
      </c>
      <c r="T461" s="986">
        <f t="shared" si="152"/>
        <v>100.52910052910052</v>
      </c>
      <c r="U461" s="986">
        <f t="shared" si="152"/>
        <v>100.52910052910052</v>
      </c>
      <c r="V461" s="986">
        <f t="shared" si="152"/>
        <v>105.82010582010581</v>
      </c>
      <c r="W461" s="986">
        <f t="shared" si="152"/>
        <v>105.82010582010581</v>
      </c>
      <c r="X461" s="986">
        <f t="shared" si="152"/>
        <v>121.69312169312167</v>
      </c>
      <c r="Y461" s="986">
        <f t="shared" si="152"/>
        <v>121.69312169312167</v>
      </c>
      <c r="Z461" s="986">
        <f t="shared" si="152"/>
        <v>121.69312169312167</v>
      </c>
      <c r="AA461" s="986">
        <f t="shared" si="152"/>
        <v>132.27513227513225</v>
      </c>
      <c r="AB461" s="986">
        <f t="shared" si="152"/>
        <v>132.27513227513225</v>
      </c>
      <c r="AC461" s="986">
        <f t="shared" si="152"/>
        <v>132.27513227513225</v>
      </c>
      <c r="AD461" s="986">
        <f t="shared" si="152"/>
        <v>132.27513227513225</v>
      </c>
      <c r="AE461" s="986">
        <f t="shared" si="152"/>
        <v>132.27513227513225</v>
      </c>
      <c r="AF461" s="986">
        <f t="shared" si="152"/>
        <v>132.27513227513225</v>
      </c>
    </row>
    <row r="462" spans="1:32" s="1010" customFormat="1" outlineLevel="5">
      <c r="A462" s="999"/>
      <c r="B462" s="999"/>
      <c r="C462" s="999"/>
      <c r="D462" s="1017">
        <f t="shared" ref="D462:D467" si="153">+D461+1</f>
        <v>89</v>
      </c>
      <c r="E462" s="1014" t="s">
        <v>1937</v>
      </c>
      <c r="F462" s="988">
        <f>+'[11]7'!$P$46+'[11]7'!$P$49</f>
        <v>11714.835080000001</v>
      </c>
      <c r="G462" s="987">
        <v>2.3656450096966679E-3</v>
      </c>
      <c r="H462" s="986">
        <f t="shared" si="151"/>
        <v>100</v>
      </c>
      <c r="I462" s="986">
        <f t="shared" ref="I462:AF462" si="154">IF(I120=0,100,I120/H120*H462)</f>
        <v>100</v>
      </c>
      <c r="J462" s="986">
        <f t="shared" si="154"/>
        <v>100</v>
      </c>
      <c r="K462" s="986">
        <f t="shared" si="154"/>
        <v>100</v>
      </c>
      <c r="L462" s="986">
        <f t="shared" si="154"/>
        <v>100</v>
      </c>
      <c r="M462" s="986">
        <f t="shared" si="154"/>
        <v>100</v>
      </c>
      <c r="N462" s="986">
        <f t="shared" si="154"/>
        <v>100</v>
      </c>
      <c r="O462" s="986">
        <f t="shared" si="154"/>
        <v>100</v>
      </c>
      <c r="P462" s="986">
        <f t="shared" si="154"/>
        <v>100</v>
      </c>
      <c r="Q462" s="986">
        <f t="shared" si="154"/>
        <v>100</v>
      </c>
      <c r="R462" s="986">
        <f t="shared" si="154"/>
        <v>100</v>
      </c>
      <c r="S462" s="986">
        <f t="shared" si="154"/>
        <v>100</v>
      </c>
      <c r="T462" s="986">
        <f t="shared" si="154"/>
        <v>115.99999999999999</v>
      </c>
      <c r="U462" s="986">
        <f t="shared" si="154"/>
        <v>120</v>
      </c>
      <c r="V462" s="986">
        <f t="shared" si="154"/>
        <v>120</v>
      </c>
      <c r="W462" s="986">
        <f t="shared" si="154"/>
        <v>120</v>
      </c>
      <c r="X462" s="986">
        <f t="shared" si="154"/>
        <v>120</v>
      </c>
      <c r="Y462" s="986">
        <f t="shared" si="154"/>
        <v>120</v>
      </c>
      <c r="Z462" s="986">
        <f t="shared" si="154"/>
        <v>120</v>
      </c>
      <c r="AA462" s="986">
        <f t="shared" si="154"/>
        <v>120</v>
      </c>
      <c r="AB462" s="986">
        <f t="shared" si="154"/>
        <v>128</v>
      </c>
      <c r="AC462" s="986">
        <f t="shared" si="154"/>
        <v>144</v>
      </c>
      <c r="AD462" s="986">
        <f t="shared" si="154"/>
        <v>144</v>
      </c>
      <c r="AE462" s="986">
        <f t="shared" si="154"/>
        <v>144</v>
      </c>
      <c r="AF462" s="986">
        <f t="shared" si="154"/>
        <v>144</v>
      </c>
    </row>
    <row r="463" spans="1:32" s="1010" customFormat="1" outlineLevel="5">
      <c r="A463" s="999"/>
      <c r="B463" s="999"/>
      <c r="C463" s="999"/>
      <c r="D463" s="1017">
        <f t="shared" si="153"/>
        <v>90</v>
      </c>
      <c r="E463" s="1014" t="s">
        <v>1936</v>
      </c>
      <c r="F463" s="988">
        <f>+'[11]7'!$P$47</f>
        <v>5760.679000000001</v>
      </c>
      <c r="G463" s="987">
        <v>1.1632875269477882E-3</v>
      </c>
      <c r="H463" s="986">
        <f t="shared" si="151"/>
        <v>100</v>
      </c>
      <c r="I463" s="986">
        <f t="shared" ref="I463:AF463" si="155">IF(I121=0,100,I121/H121*H463)</f>
        <v>100</v>
      </c>
      <c r="J463" s="986">
        <f t="shared" si="155"/>
        <v>100</v>
      </c>
      <c r="K463" s="986">
        <f t="shared" si="155"/>
        <v>100</v>
      </c>
      <c r="L463" s="986">
        <f t="shared" si="155"/>
        <v>100</v>
      </c>
      <c r="M463" s="986">
        <f t="shared" si="155"/>
        <v>100</v>
      </c>
      <c r="N463" s="986">
        <f t="shared" si="155"/>
        <v>100</v>
      </c>
      <c r="O463" s="986">
        <f t="shared" si="155"/>
        <v>100</v>
      </c>
      <c r="P463" s="986">
        <f t="shared" si="155"/>
        <v>100</v>
      </c>
      <c r="Q463" s="986">
        <f t="shared" si="155"/>
        <v>100</v>
      </c>
      <c r="R463" s="986">
        <f t="shared" si="155"/>
        <v>100</v>
      </c>
      <c r="S463" s="986">
        <f t="shared" si="155"/>
        <v>100</v>
      </c>
      <c r="T463" s="986">
        <f t="shared" si="155"/>
        <v>100</v>
      </c>
      <c r="U463" s="986">
        <f t="shared" si="155"/>
        <v>100</v>
      </c>
      <c r="V463" s="986">
        <f t="shared" si="155"/>
        <v>100</v>
      </c>
      <c r="W463" s="986">
        <f t="shared" si="155"/>
        <v>100</v>
      </c>
      <c r="X463" s="986">
        <f t="shared" si="155"/>
        <v>100</v>
      </c>
      <c r="Y463" s="986">
        <f t="shared" si="155"/>
        <v>110.00000000000001</v>
      </c>
      <c r="Z463" s="986">
        <f t="shared" si="155"/>
        <v>110.00000000000001</v>
      </c>
      <c r="AA463" s="986">
        <f t="shared" si="155"/>
        <v>110.00000000000001</v>
      </c>
      <c r="AB463" s="986">
        <f t="shared" si="155"/>
        <v>120</v>
      </c>
      <c r="AC463" s="986">
        <f t="shared" si="155"/>
        <v>120</v>
      </c>
      <c r="AD463" s="986">
        <f t="shared" si="155"/>
        <v>120</v>
      </c>
      <c r="AE463" s="986">
        <f t="shared" si="155"/>
        <v>120</v>
      </c>
      <c r="AF463" s="986">
        <f t="shared" si="155"/>
        <v>120</v>
      </c>
    </row>
    <row r="464" spans="1:32" s="1010" customFormat="1" outlineLevel="5">
      <c r="A464" s="999"/>
      <c r="B464" s="999"/>
      <c r="C464" s="999"/>
      <c r="D464" s="1017">
        <f t="shared" si="153"/>
        <v>91</v>
      </c>
      <c r="E464" s="1014" t="s">
        <v>1935</v>
      </c>
      <c r="F464" s="988">
        <f>+'[11]7'!$P$52</f>
        <v>24435.168499999996</v>
      </c>
      <c r="G464" s="987">
        <v>4.934336166781292E-3</v>
      </c>
      <c r="H464" s="986">
        <f t="shared" si="151"/>
        <v>100</v>
      </c>
      <c r="I464" s="986">
        <f t="shared" ref="I464:AF464" si="156">IF(I122=0,100,I122/H122*H464)</f>
        <v>114.81481481481481</v>
      </c>
      <c r="J464" s="986">
        <f t="shared" si="156"/>
        <v>100</v>
      </c>
      <c r="K464" s="986">
        <f t="shared" si="156"/>
        <v>100</v>
      </c>
      <c r="L464" s="986">
        <f t="shared" si="156"/>
        <v>100</v>
      </c>
      <c r="M464" s="986">
        <f t="shared" si="156"/>
        <v>100</v>
      </c>
      <c r="N464" s="986">
        <f t="shared" si="156"/>
        <v>100</v>
      </c>
      <c r="O464" s="986">
        <f t="shared" si="156"/>
        <v>100</v>
      </c>
      <c r="P464" s="986">
        <f t="shared" si="156"/>
        <v>100</v>
      </c>
      <c r="Q464" s="986">
        <f t="shared" si="156"/>
        <v>100</v>
      </c>
      <c r="R464" s="986">
        <f t="shared" si="156"/>
        <v>100</v>
      </c>
      <c r="S464" s="986">
        <f t="shared" si="156"/>
        <v>100</v>
      </c>
      <c r="T464" s="986">
        <f t="shared" si="156"/>
        <v>100</v>
      </c>
      <c r="U464" s="986">
        <f t="shared" si="156"/>
        <v>111.11111111111111</v>
      </c>
      <c r="V464" s="986">
        <f t="shared" si="156"/>
        <v>111.11111111111111</v>
      </c>
      <c r="W464" s="986">
        <f t="shared" si="156"/>
        <v>111.11111111111111</v>
      </c>
      <c r="X464" s="986">
        <f t="shared" si="156"/>
        <v>111.11111111111111</v>
      </c>
      <c r="Y464" s="986">
        <f t="shared" si="156"/>
        <v>111.11111111111111</v>
      </c>
      <c r="Z464" s="986">
        <f t="shared" si="156"/>
        <v>111.11111111111111</v>
      </c>
      <c r="AA464" s="986">
        <f t="shared" si="156"/>
        <v>111.11111111111111</v>
      </c>
      <c r="AB464" s="986">
        <f t="shared" si="156"/>
        <v>111.11111111111111</v>
      </c>
      <c r="AC464" s="986">
        <f t="shared" si="156"/>
        <v>111.11111111111111</v>
      </c>
      <c r="AD464" s="986">
        <f t="shared" si="156"/>
        <v>111.11111111111111</v>
      </c>
      <c r="AE464" s="986">
        <f t="shared" si="156"/>
        <v>111.11111111111111</v>
      </c>
      <c r="AF464" s="986">
        <f t="shared" si="156"/>
        <v>118.51851851851852</v>
      </c>
    </row>
    <row r="465" spans="1:32" s="1010" customFormat="1" outlineLevel="5">
      <c r="A465" s="999"/>
      <c r="B465" s="999"/>
      <c r="C465" s="999"/>
      <c r="D465" s="1017">
        <f t="shared" si="153"/>
        <v>92</v>
      </c>
      <c r="E465" s="1014" t="s">
        <v>1934</v>
      </c>
      <c r="F465" s="988">
        <f>+'[11]7'!$P$53</f>
        <v>5867.93</v>
      </c>
      <c r="G465" s="987">
        <v>1.1849453472416592E-3</v>
      </c>
      <c r="H465" s="986">
        <f t="shared" si="151"/>
        <v>100</v>
      </c>
      <c r="I465" s="986">
        <f t="shared" ref="I465:AF465" si="157">IF(I123=0,100,I123/H123*H465)</f>
        <v>103.89610389610388</v>
      </c>
      <c r="J465" s="986">
        <f t="shared" si="157"/>
        <v>99.999999999999986</v>
      </c>
      <c r="K465" s="986">
        <f t="shared" si="157"/>
        <v>99.999999999999986</v>
      </c>
      <c r="L465" s="986">
        <f t="shared" si="157"/>
        <v>99.999999999999986</v>
      </c>
      <c r="M465" s="986">
        <f t="shared" si="157"/>
        <v>99.999999999999986</v>
      </c>
      <c r="N465" s="986">
        <f t="shared" si="157"/>
        <v>110.38961038961038</v>
      </c>
      <c r="O465" s="986">
        <f t="shared" si="157"/>
        <v>110.38961038961038</v>
      </c>
      <c r="P465" s="986">
        <f t="shared" si="157"/>
        <v>110.38961038961038</v>
      </c>
      <c r="Q465" s="986">
        <f t="shared" si="157"/>
        <v>110.38961038961038</v>
      </c>
      <c r="R465" s="986">
        <f t="shared" si="157"/>
        <v>110.38961038961038</v>
      </c>
      <c r="S465" s="986">
        <f t="shared" si="157"/>
        <v>110.38961038961038</v>
      </c>
      <c r="T465" s="986">
        <f t="shared" si="157"/>
        <v>110.38961038961038</v>
      </c>
      <c r="U465" s="986">
        <f t="shared" si="157"/>
        <v>110.38961038961038</v>
      </c>
      <c r="V465" s="986">
        <f t="shared" si="157"/>
        <v>116.88311688311688</v>
      </c>
      <c r="W465" s="986">
        <f t="shared" si="157"/>
        <v>116.88311688311688</v>
      </c>
      <c r="X465" s="986">
        <f t="shared" si="157"/>
        <v>116.88311688311688</v>
      </c>
      <c r="Y465" s="986">
        <f t="shared" si="157"/>
        <v>116.88311688311688</v>
      </c>
      <c r="Z465" s="986">
        <f t="shared" si="157"/>
        <v>129.87012987012989</v>
      </c>
      <c r="AA465" s="986">
        <f t="shared" si="157"/>
        <v>129.87012987012989</v>
      </c>
      <c r="AB465" s="986">
        <f t="shared" si="157"/>
        <v>129.87012987012989</v>
      </c>
      <c r="AC465" s="986">
        <f t="shared" si="157"/>
        <v>129.87012987012989</v>
      </c>
      <c r="AD465" s="986">
        <f t="shared" si="157"/>
        <v>129.87012987012989</v>
      </c>
      <c r="AE465" s="986">
        <f t="shared" si="157"/>
        <v>134.19913419913422</v>
      </c>
      <c r="AF465" s="986">
        <f t="shared" si="157"/>
        <v>134.19913419913422</v>
      </c>
    </row>
    <row r="466" spans="1:32" s="1010" customFormat="1" outlineLevel="5">
      <c r="A466" s="999"/>
      <c r="B466" s="999"/>
      <c r="C466" s="999"/>
      <c r="D466" s="1017">
        <f t="shared" si="153"/>
        <v>93</v>
      </c>
      <c r="E466" s="1014" t="s">
        <v>1933</v>
      </c>
      <c r="F466" s="988">
        <f>+'[11]7'!$P$55+'[11]7'!$P$51+'[11]7'!$P$54</f>
        <v>14284.8478</v>
      </c>
      <c r="G466" s="987">
        <v>2.8846226755713258E-3</v>
      </c>
      <c r="H466" s="986">
        <f t="shared" si="151"/>
        <v>100</v>
      </c>
      <c r="I466" s="986">
        <f t="shared" ref="I466:AF466" si="158">IF(I124=0,100,I124/H124*H466)</f>
        <v>100</v>
      </c>
      <c r="J466" s="986">
        <f t="shared" si="158"/>
        <v>100</v>
      </c>
      <c r="K466" s="986">
        <f t="shared" si="158"/>
        <v>100</v>
      </c>
      <c r="L466" s="986">
        <f t="shared" si="158"/>
        <v>100</v>
      </c>
      <c r="M466" s="986">
        <f t="shared" si="158"/>
        <v>100</v>
      </c>
      <c r="N466" s="986">
        <f t="shared" si="158"/>
        <v>100</v>
      </c>
      <c r="O466" s="986">
        <f t="shared" si="158"/>
        <v>100</v>
      </c>
      <c r="P466" s="986">
        <f t="shared" si="158"/>
        <v>100</v>
      </c>
      <c r="Q466" s="986">
        <f t="shared" si="158"/>
        <v>100</v>
      </c>
      <c r="R466" s="986">
        <f t="shared" si="158"/>
        <v>100</v>
      </c>
      <c r="S466" s="986">
        <f t="shared" si="158"/>
        <v>100</v>
      </c>
      <c r="T466" s="986">
        <f t="shared" si="158"/>
        <v>100</v>
      </c>
      <c r="U466" s="986">
        <f t="shared" si="158"/>
        <v>107.69230769230769</v>
      </c>
      <c r="V466" s="986">
        <f t="shared" si="158"/>
        <v>123.07692307692307</v>
      </c>
      <c r="W466" s="986">
        <f t="shared" si="158"/>
        <v>123.07692307692307</v>
      </c>
      <c r="X466" s="986">
        <f t="shared" si="158"/>
        <v>123.07692307692307</v>
      </c>
      <c r="Y466" s="986">
        <f t="shared" si="158"/>
        <v>123.07692307692307</v>
      </c>
      <c r="Z466" s="986">
        <f t="shared" si="158"/>
        <v>123.07692307692307</v>
      </c>
      <c r="AA466" s="986">
        <f t="shared" si="158"/>
        <v>123.07692307692307</v>
      </c>
      <c r="AB466" s="986">
        <f t="shared" si="158"/>
        <v>123.07692307692307</v>
      </c>
      <c r="AC466" s="986">
        <f t="shared" si="158"/>
        <v>130.76923076923075</v>
      </c>
      <c r="AD466" s="986">
        <f t="shared" si="158"/>
        <v>138.46153846153842</v>
      </c>
      <c r="AE466" s="986">
        <f t="shared" si="158"/>
        <v>138.46153846153842</v>
      </c>
      <c r="AF466" s="986">
        <f t="shared" si="158"/>
        <v>143.58974358974353</v>
      </c>
    </row>
    <row r="467" spans="1:32" s="1010" customFormat="1" outlineLevel="5">
      <c r="A467" s="999"/>
      <c r="B467" s="999"/>
      <c r="C467" s="999"/>
      <c r="D467" s="1017">
        <f t="shared" si="153"/>
        <v>94</v>
      </c>
      <c r="E467" s="1026" t="s">
        <v>1932</v>
      </c>
      <c r="F467" s="988">
        <f>+'[11]7'!$P$56+'[11]7'!$P$57+'[11]7'!$P$58+'[11]7'!$P$59</f>
        <v>18404.504079999999</v>
      </c>
      <c r="G467" s="987">
        <v>3.7165289084713231E-3</v>
      </c>
      <c r="H467" s="986">
        <f t="shared" si="151"/>
        <v>100</v>
      </c>
      <c r="I467" s="986">
        <f t="shared" ref="I467:AF467" si="159">IF(I125=0,100,I125/H125*H467)</f>
        <v>100</v>
      </c>
      <c r="J467" s="986">
        <f t="shared" si="159"/>
        <v>100</v>
      </c>
      <c r="K467" s="986">
        <f t="shared" si="159"/>
        <v>100</v>
      </c>
      <c r="L467" s="986">
        <f t="shared" si="159"/>
        <v>100</v>
      </c>
      <c r="M467" s="986">
        <f t="shared" si="159"/>
        <v>100</v>
      </c>
      <c r="N467" s="986">
        <f t="shared" si="159"/>
        <v>100</v>
      </c>
      <c r="O467" s="986">
        <f t="shared" si="159"/>
        <v>100</v>
      </c>
      <c r="P467" s="986">
        <f t="shared" si="159"/>
        <v>100</v>
      </c>
      <c r="Q467" s="986">
        <f t="shared" si="159"/>
        <v>100</v>
      </c>
      <c r="R467" s="986">
        <f t="shared" si="159"/>
        <v>100</v>
      </c>
      <c r="S467" s="986">
        <f t="shared" si="159"/>
        <v>100</v>
      </c>
      <c r="T467" s="986">
        <f t="shared" si="159"/>
        <v>100</v>
      </c>
      <c r="U467" s="986">
        <f t="shared" si="159"/>
        <v>100</v>
      </c>
      <c r="V467" s="986">
        <f t="shared" si="159"/>
        <v>111.11111111111111</v>
      </c>
      <c r="W467" s="986">
        <f t="shared" si="159"/>
        <v>106.66666666666667</v>
      </c>
      <c r="X467" s="986">
        <f t="shared" si="159"/>
        <v>106.66666666666667</v>
      </c>
      <c r="Y467" s="986">
        <f t="shared" si="159"/>
        <v>106.66666666666667</v>
      </c>
      <c r="Z467" s="986">
        <f t="shared" si="159"/>
        <v>111.11111111111113</v>
      </c>
      <c r="AA467" s="986">
        <f t="shared" si="159"/>
        <v>111.11111111111113</v>
      </c>
      <c r="AB467" s="986">
        <f t="shared" si="159"/>
        <v>122.22222222222226</v>
      </c>
      <c r="AC467" s="986">
        <f t="shared" si="159"/>
        <v>133.33333333333337</v>
      </c>
      <c r="AD467" s="986">
        <f t="shared" si="159"/>
        <v>133.33333333333337</v>
      </c>
      <c r="AE467" s="986">
        <f t="shared" si="159"/>
        <v>133.33333333333337</v>
      </c>
      <c r="AF467" s="986">
        <f t="shared" si="159"/>
        <v>133.33333333333337</v>
      </c>
    </row>
    <row r="468" spans="1:32" outlineLevel="3">
      <c r="A468" s="999"/>
      <c r="B468" s="999"/>
      <c r="C468" s="1956" t="s">
        <v>1931</v>
      </c>
      <c r="D468" s="1956"/>
      <c r="E468" s="1956"/>
      <c r="F468" s="998">
        <f>SUM(F469:F471)</f>
        <v>36628.905130000006</v>
      </c>
      <c r="G468" s="997">
        <v>7.3966885611024061E-3</v>
      </c>
      <c r="H468" s="996">
        <f t="shared" ref="H468:AF468" si="160">+SUMPRODUCT(H469:H471,$G469:$G471)/$G468</f>
        <v>100</v>
      </c>
      <c r="I468" s="996">
        <f t="shared" si="160"/>
        <v>100.73759797103885</v>
      </c>
      <c r="J468" s="996">
        <f t="shared" si="160"/>
        <v>100.73759797103885</v>
      </c>
      <c r="K468" s="996">
        <f t="shared" si="160"/>
        <v>95.595701923358732</v>
      </c>
      <c r="L468" s="996">
        <f t="shared" si="160"/>
        <v>95.595701923358732</v>
      </c>
      <c r="M468" s="996">
        <f t="shared" si="160"/>
        <v>95.595701923358732</v>
      </c>
      <c r="N468" s="996">
        <f t="shared" si="160"/>
        <v>95.595701923358732</v>
      </c>
      <c r="O468" s="996">
        <f t="shared" si="160"/>
        <v>95.595701923358732</v>
      </c>
      <c r="P468" s="996">
        <f t="shared" si="160"/>
        <v>95.595701923358732</v>
      </c>
      <c r="Q468" s="996">
        <f t="shared" si="160"/>
        <v>102.23408366270854</v>
      </c>
      <c r="R468" s="996">
        <f t="shared" si="160"/>
        <v>102.23408366270854</v>
      </c>
      <c r="S468" s="996">
        <f t="shared" si="160"/>
        <v>102.23408366270854</v>
      </c>
      <c r="T468" s="996">
        <f t="shared" si="160"/>
        <v>102.23408366270854</v>
      </c>
      <c r="U468" s="996">
        <f t="shared" si="160"/>
        <v>102.23408366270854</v>
      </c>
      <c r="V468" s="996">
        <f t="shared" si="160"/>
        <v>101.53265211833643</v>
      </c>
      <c r="W468" s="996">
        <f t="shared" si="160"/>
        <v>112.77546211298539</v>
      </c>
      <c r="X468" s="996">
        <f t="shared" si="160"/>
        <v>114.27194780465508</v>
      </c>
      <c r="Y468" s="996">
        <f t="shared" si="160"/>
        <v>114.27194780465508</v>
      </c>
      <c r="Z468" s="996">
        <f t="shared" si="160"/>
        <v>114.27194780465508</v>
      </c>
      <c r="AA468" s="996">
        <f t="shared" si="160"/>
        <v>114.27194780465508</v>
      </c>
      <c r="AB468" s="996">
        <f t="shared" si="160"/>
        <v>114.27194780465508</v>
      </c>
      <c r="AC468" s="996">
        <f t="shared" si="160"/>
        <v>115.76843349632476</v>
      </c>
      <c r="AD468" s="996">
        <f t="shared" si="160"/>
        <v>115.76843349632476</v>
      </c>
      <c r="AE468" s="996">
        <f t="shared" si="160"/>
        <v>126.7119463526398</v>
      </c>
      <c r="AF468" s="996">
        <f t="shared" si="160"/>
        <v>134.00762159018313</v>
      </c>
    </row>
    <row r="469" spans="1:32" s="1010" customFormat="1" outlineLevel="4">
      <c r="A469" s="999"/>
      <c r="B469" s="999"/>
      <c r="C469" s="999"/>
      <c r="D469" s="1017">
        <f>+D467+1</f>
        <v>95</v>
      </c>
      <c r="E469" s="1014" t="s">
        <v>1930</v>
      </c>
      <c r="F469" s="988">
        <f>+'[11]7'!$P$17+'[11]7'!$P$34</f>
        <v>27658.573700000001</v>
      </c>
      <c r="G469" s="987">
        <v>5.5852571890181923E-3</v>
      </c>
      <c r="H469" s="986">
        <f>IF(H127=0,100,H127/H127*100)</f>
        <v>100</v>
      </c>
      <c r="I469" s="986">
        <f t="shared" ref="I469:AF469" si="161">IF(I127=0,100,I127/H127*H469)</f>
        <v>100</v>
      </c>
      <c r="J469" s="986">
        <f t="shared" si="161"/>
        <v>100</v>
      </c>
      <c r="K469" s="986">
        <f t="shared" si="161"/>
        <v>100</v>
      </c>
      <c r="L469" s="986">
        <f t="shared" si="161"/>
        <v>100</v>
      </c>
      <c r="M469" s="986">
        <f t="shared" si="161"/>
        <v>100</v>
      </c>
      <c r="N469" s="986">
        <f t="shared" si="161"/>
        <v>100</v>
      </c>
      <c r="O469" s="986">
        <f t="shared" si="161"/>
        <v>100</v>
      </c>
      <c r="P469" s="986">
        <f t="shared" si="161"/>
        <v>100</v>
      </c>
      <c r="Q469" s="986">
        <f t="shared" si="161"/>
        <v>100</v>
      </c>
      <c r="R469" s="986">
        <f t="shared" si="161"/>
        <v>100</v>
      </c>
      <c r="S469" s="986">
        <f t="shared" si="161"/>
        <v>100</v>
      </c>
      <c r="T469" s="986">
        <f t="shared" si="161"/>
        <v>100</v>
      </c>
      <c r="U469" s="986">
        <f t="shared" si="161"/>
        <v>100</v>
      </c>
      <c r="V469" s="986">
        <f t="shared" si="161"/>
        <v>101.44927536231884</v>
      </c>
      <c r="W469" s="986">
        <f t="shared" si="161"/>
        <v>115.94202898550725</v>
      </c>
      <c r="X469" s="986">
        <f t="shared" si="161"/>
        <v>115.94202898550725</v>
      </c>
      <c r="Y469" s="986">
        <f t="shared" si="161"/>
        <v>115.94202898550725</v>
      </c>
      <c r="Z469" s="986">
        <f t="shared" si="161"/>
        <v>115.94202898550725</v>
      </c>
      <c r="AA469" s="986">
        <f t="shared" si="161"/>
        <v>115.94202898550725</v>
      </c>
      <c r="AB469" s="986">
        <f t="shared" si="161"/>
        <v>115.94202898550725</v>
      </c>
      <c r="AC469" s="986">
        <f t="shared" si="161"/>
        <v>115.94202898550725</v>
      </c>
      <c r="AD469" s="986">
        <f t="shared" si="161"/>
        <v>115.94202898550725</v>
      </c>
      <c r="AE469" s="986">
        <f t="shared" si="161"/>
        <v>130.43478260869566</v>
      </c>
      <c r="AF469" s="986">
        <f t="shared" si="161"/>
        <v>140.0966183574879</v>
      </c>
    </row>
    <row r="470" spans="1:32" s="1010" customFormat="1" outlineLevel="4">
      <c r="A470" s="999"/>
      <c r="B470" s="999"/>
      <c r="C470" s="999"/>
      <c r="D470" s="1017">
        <f>+D469+1</f>
        <v>96</v>
      </c>
      <c r="E470" s="1014" t="s">
        <v>1929</v>
      </c>
      <c r="F470" s="988">
        <f>+'[11]7'!$P$60+'[11]7'!$P$62</f>
        <v>5133.3071600000003</v>
      </c>
      <c r="G470" s="987">
        <v>1.0365986702643513E-3</v>
      </c>
      <c r="H470" s="986">
        <f>IF(H128=0,100,H128/H128*100)</f>
        <v>100</v>
      </c>
      <c r="I470" s="986">
        <f t="shared" ref="I470:AF470" si="162">IF(I128=0,100,I128/H128*H470)</f>
        <v>105.26315789473684</v>
      </c>
      <c r="J470" s="986">
        <f t="shared" si="162"/>
        <v>105.26315789473684</v>
      </c>
      <c r="K470" s="986">
        <f t="shared" si="162"/>
        <v>57.894736842105267</v>
      </c>
      <c r="L470" s="986">
        <f t="shared" si="162"/>
        <v>57.894736842105267</v>
      </c>
      <c r="M470" s="986">
        <f t="shared" si="162"/>
        <v>57.894736842105267</v>
      </c>
      <c r="N470" s="986">
        <f t="shared" si="162"/>
        <v>57.894736842105267</v>
      </c>
      <c r="O470" s="986">
        <f t="shared" si="162"/>
        <v>57.894736842105267</v>
      </c>
      <c r="P470" s="986">
        <f t="shared" si="162"/>
        <v>57.894736842105267</v>
      </c>
      <c r="Q470" s="986">
        <f t="shared" si="162"/>
        <v>105.26315789473685</v>
      </c>
      <c r="R470" s="986">
        <f t="shared" si="162"/>
        <v>105.26315789473685</v>
      </c>
      <c r="S470" s="986">
        <f t="shared" si="162"/>
        <v>105.26315789473685</v>
      </c>
      <c r="T470" s="986">
        <f t="shared" si="162"/>
        <v>105.26315789473685</v>
      </c>
      <c r="U470" s="986">
        <f t="shared" si="162"/>
        <v>105.26315789473685</v>
      </c>
      <c r="V470" s="986">
        <f t="shared" si="162"/>
        <v>105.26315789473685</v>
      </c>
      <c r="W470" s="986">
        <f t="shared" si="162"/>
        <v>105.26315789473685</v>
      </c>
      <c r="X470" s="986">
        <f t="shared" si="162"/>
        <v>105.26315789473685</v>
      </c>
      <c r="Y470" s="986">
        <f t="shared" si="162"/>
        <v>105.26315789473685</v>
      </c>
      <c r="Z470" s="986">
        <f t="shared" si="162"/>
        <v>105.26315789473685</v>
      </c>
      <c r="AA470" s="986">
        <f t="shared" si="162"/>
        <v>105.26315789473685</v>
      </c>
      <c r="AB470" s="986">
        <f t="shared" si="162"/>
        <v>105.26315789473685</v>
      </c>
      <c r="AC470" s="986">
        <f t="shared" si="162"/>
        <v>105.26315789473685</v>
      </c>
      <c r="AD470" s="986">
        <f t="shared" si="162"/>
        <v>105.26315789473685</v>
      </c>
      <c r="AE470" s="986">
        <f t="shared" si="162"/>
        <v>105.26315789473685</v>
      </c>
      <c r="AF470" s="986">
        <f t="shared" si="162"/>
        <v>105.26315789473685</v>
      </c>
    </row>
    <row r="471" spans="1:32" s="1010" customFormat="1" outlineLevel="4">
      <c r="A471" s="999"/>
      <c r="B471" s="999"/>
      <c r="C471" s="999"/>
      <c r="D471" s="1017">
        <f>+D470+1</f>
        <v>97</v>
      </c>
      <c r="E471" s="1026" t="s">
        <v>1928</v>
      </c>
      <c r="F471" s="988">
        <f>+'[11]7'!$P$61+2000</f>
        <v>3837.0242699999999</v>
      </c>
      <c r="G471" s="987">
        <v>7.7483270181986203E-4</v>
      </c>
      <c r="H471" s="986">
        <f>IF(H129=0,100,H129/H129*100)</f>
        <v>100</v>
      </c>
      <c r="I471" s="986">
        <f t="shared" ref="I471:AF471" si="163">IF(I129=0,100,I129/H129*H471)</f>
        <v>100</v>
      </c>
      <c r="J471" s="986">
        <f t="shared" si="163"/>
        <v>100</v>
      </c>
      <c r="K471" s="986">
        <f t="shared" si="163"/>
        <v>114.28571428571428</v>
      </c>
      <c r="L471" s="986">
        <f t="shared" si="163"/>
        <v>114.28571428571428</v>
      </c>
      <c r="M471" s="986">
        <f t="shared" si="163"/>
        <v>114.28571428571428</v>
      </c>
      <c r="N471" s="986">
        <f t="shared" si="163"/>
        <v>114.28571428571428</v>
      </c>
      <c r="O471" s="986">
        <f t="shared" si="163"/>
        <v>114.28571428571428</v>
      </c>
      <c r="P471" s="986">
        <f t="shared" si="163"/>
        <v>114.28571428571428</v>
      </c>
      <c r="Q471" s="986">
        <f t="shared" si="163"/>
        <v>114.28571428571428</v>
      </c>
      <c r="R471" s="986">
        <f t="shared" si="163"/>
        <v>114.28571428571428</v>
      </c>
      <c r="S471" s="986">
        <f t="shared" si="163"/>
        <v>114.28571428571428</v>
      </c>
      <c r="T471" s="986">
        <f t="shared" si="163"/>
        <v>114.28571428571428</v>
      </c>
      <c r="U471" s="986">
        <f t="shared" si="163"/>
        <v>114.28571428571428</v>
      </c>
      <c r="V471" s="986">
        <f t="shared" si="163"/>
        <v>97.142857142857139</v>
      </c>
      <c r="W471" s="986">
        <f t="shared" si="163"/>
        <v>99.999999999999986</v>
      </c>
      <c r="X471" s="986">
        <f t="shared" si="163"/>
        <v>114.28571428571426</v>
      </c>
      <c r="Y471" s="986">
        <f t="shared" si="163"/>
        <v>114.28571428571426</v>
      </c>
      <c r="Z471" s="986">
        <f t="shared" si="163"/>
        <v>114.28571428571426</v>
      </c>
      <c r="AA471" s="986">
        <f t="shared" si="163"/>
        <v>114.28571428571426</v>
      </c>
      <c r="AB471" s="986">
        <f t="shared" si="163"/>
        <v>114.28571428571426</v>
      </c>
      <c r="AC471" s="986">
        <f t="shared" si="163"/>
        <v>128.57142857142856</v>
      </c>
      <c r="AD471" s="986">
        <f t="shared" si="163"/>
        <v>128.57142857142856</v>
      </c>
      <c r="AE471" s="986">
        <f t="shared" si="163"/>
        <v>128.57142857142856</v>
      </c>
      <c r="AF471" s="986">
        <f t="shared" si="163"/>
        <v>128.57142857142856</v>
      </c>
    </row>
    <row r="472" spans="1:32" outlineLevel="2">
      <c r="A472" s="999"/>
      <c r="B472" s="1043" t="s">
        <v>1927</v>
      </c>
      <c r="C472" s="999"/>
      <c r="D472" s="1030"/>
      <c r="E472" s="1024"/>
      <c r="F472" s="1020">
        <f>+F473</f>
        <v>272450.68008600001</v>
      </c>
      <c r="G472" s="1019">
        <v>5.5017555717387805E-2</v>
      </c>
      <c r="H472" s="1018">
        <f t="shared" ref="H472:AF472" si="164">+$G$473*H473/$G$472</f>
        <v>99.999999999999986</v>
      </c>
      <c r="I472" s="1018">
        <f t="shared" si="164"/>
        <v>99.999999999999986</v>
      </c>
      <c r="J472" s="1018">
        <f t="shared" si="164"/>
        <v>100.03783695784865</v>
      </c>
      <c r="K472" s="1018">
        <f t="shared" si="164"/>
        <v>100.03783695784865</v>
      </c>
      <c r="L472" s="1018">
        <f t="shared" si="164"/>
        <v>101.14147971588874</v>
      </c>
      <c r="M472" s="1018">
        <f t="shared" si="164"/>
        <v>101.14147971588874</v>
      </c>
      <c r="N472" s="1018">
        <f t="shared" si="164"/>
        <v>101.14147971588874</v>
      </c>
      <c r="O472" s="1018">
        <f t="shared" si="164"/>
        <v>101.21566171812053</v>
      </c>
      <c r="P472" s="1018">
        <f t="shared" si="164"/>
        <v>101.21566171812053</v>
      </c>
      <c r="Q472" s="1018">
        <f t="shared" si="164"/>
        <v>102.64818318092098</v>
      </c>
      <c r="R472" s="1018">
        <f t="shared" si="164"/>
        <v>104.99735490534601</v>
      </c>
      <c r="S472" s="1018">
        <f t="shared" si="164"/>
        <v>106.62261558258285</v>
      </c>
      <c r="T472" s="1018">
        <f t="shared" si="164"/>
        <v>106.62261558258285</v>
      </c>
      <c r="U472" s="1018">
        <f t="shared" si="164"/>
        <v>107.87744698065696</v>
      </c>
      <c r="V472" s="1018">
        <f t="shared" si="164"/>
        <v>105.18921364909792</v>
      </c>
      <c r="W472" s="1018">
        <f t="shared" si="164"/>
        <v>110.96041359586677</v>
      </c>
      <c r="X472" s="1018">
        <f t="shared" si="164"/>
        <v>121.06260283089429</v>
      </c>
      <c r="Y472" s="1018">
        <f t="shared" si="164"/>
        <v>121.06260283089429</v>
      </c>
      <c r="Z472" s="1018">
        <f t="shared" si="164"/>
        <v>121.06260283089429</v>
      </c>
      <c r="AA472" s="1018">
        <f t="shared" si="164"/>
        <v>121.06260283089429</v>
      </c>
      <c r="AB472" s="1018">
        <f t="shared" si="164"/>
        <v>122.577684849219</v>
      </c>
      <c r="AC472" s="1018">
        <f t="shared" si="164"/>
        <v>122.46646745456863</v>
      </c>
      <c r="AD472" s="1018">
        <f t="shared" si="164"/>
        <v>123.19877300745061</v>
      </c>
      <c r="AE472" s="1018">
        <f t="shared" si="164"/>
        <v>127.37958986789012</v>
      </c>
      <c r="AF472" s="1018">
        <f t="shared" si="164"/>
        <v>128.76405286095374</v>
      </c>
    </row>
    <row r="473" spans="1:32" outlineLevel="3">
      <c r="A473" s="999"/>
      <c r="B473" s="999"/>
      <c r="C473" s="1956" t="s">
        <v>1926</v>
      </c>
      <c r="D473" s="1956"/>
      <c r="E473" s="1956"/>
      <c r="F473" s="998">
        <f>+F474+F478+F482</f>
        <v>272450.68008600001</v>
      </c>
      <c r="G473" s="997">
        <v>5.5017555717387805E-2</v>
      </c>
      <c r="H473" s="996">
        <f t="shared" ref="H473:AF473" si="165">+($G$474*H474+$G$478*H478+$G$482*H482)/$G$473</f>
        <v>99.999999999999986</v>
      </c>
      <c r="I473" s="996">
        <f t="shared" si="165"/>
        <v>99.999999999999986</v>
      </c>
      <c r="J473" s="996">
        <f t="shared" si="165"/>
        <v>100.03783695784865</v>
      </c>
      <c r="K473" s="996">
        <f t="shared" si="165"/>
        <v>100.03783695784865</v>
      </c>
      <c r="L473" s="996">
        <f t="shared" si="165"/>
        <v>101.14147971588874</v>
      </c>
      <c r="M473" s="996">
        <f t="shared" si="165"/>
        <v>101.14147971588874</v>
      </c>
      <c r="N473" s="996">
        <f t="shared" si="165"/>
        <v>101.14147971588874</v>
      </c>
      <c r="O473" s="996">
        <f t="shared" si="165"/>
        <v>101.21566171812053</v>
      </c>
      <c r="P473" s="996">
        <f t="shared" si="165"/>
        <v>101.21566171812053</v>
      </c>
      <c r="Q473" s="996">
        <f t="shared" si="165"/>
        <v>102.64818318092098</v>
      </c>
      <c r="R473" s="996">
        <f t="shared" si="165"/>
        <v>104.99735490534601</v>
      </c>
      <c r="S473" s="996">
        <f t="shared" si="165"/>
        <v>106.62261558258285</v>
      </c>
      <c r="T473" s="996">
        <f t="shared" si="165"/>
        <v>106.62261558258285</v>
      </c>
      <c r="U473" s="996">
        <f t="shared" si="165"/>
        <v>107.87744698065696</v>
      </c>
      <c r="V473" s="996">
        <f t="shared" si="165"/>
        <v>105.18921364909792</v>
      </c>
      <c r="W473" s="996">
        <f t="shared" si="165"/>
        <v>110.96041359586677</v>
      </c>
      <c r="X473" s="996">
        <f t="shared" si="165"/>
        <v>121.06260283089429</v>
      </c>
      <c r="Y473" s="996">
        <f t="shared" si="165"/>
        <v>121.06260283089429</v>
      </c>
      <c r="Z473" s="996">
        <f t="shared" si="165"/>
        <v>121.06260283089429</v>
      </c>
      <c r="AA473" s="996">
        <f t="shared" si="165"/>
        <v>121.06260283089429</v>
      </c>
      <c r="AB473" s="996">
        <f t="shared" si="165"/>
        <v>122.577684849219</v>
      </c>
      <c r="AC473" s="996">
        <f t="shared" si="165"/>
        <v>122.46646745456863</v>
      </c>
      <c r="AD473" s="996">
        <f t="shared" si="165"/>
        <v>123.19877300745061</v>
      </c>
      <c r="AE473" s="996">
        <f t="shared" si="165"/>
        <v>127.37958986789012</v>
      </c>
      <c r="AF473" s="996">
        <f t="shared" si="165"/>
        <v>128.76405286095374</v>
      </c>
    </row>
    <row r="474" spans="1:32" outlineLevel="4">
      <c r="A474" s="999"/>
      <c r="B474" s="999"/>
      <c r="C474" s="999"/>
      <c r="D474" s="1030"/>
      <c r="E474" s="1042" t="s">
        <v>1925</v>
      </c>
      <c r="F474" s="998">
        <f>SUM(F475:F477)</f>
        <v>125553.36524000001</v>
      </c>
      <c r="G474" s="997">
        <v>2.5353723710349416E-2</v>
      </c>
      <c r="H474" s="996">
        <f t="shared" ref="H474:AF474" si="166">+SUMPRODUCT(H475:H477,$G475:$G477)/$G474</f>
        <v>100</v>
      </c>
      <c r="I474" s="996">
        <f t="shared" si="166"/>
        <v>100</v>
      </c>
      <c r="J474" s="996">
        <f t="shared" si="166"/>
        <v>100.78485227650339</v>
      </c>
      <c r="K474" s="996">
        <f t="shared" si="166"/>
        <v>100.78485227650339</v>
      </c>
      <c r="L474" s="996">
        <f t="shared" si="166"/>
        <v>103.17975598478093</v>
      </c>
      <c r="M474" s="996">
        <f t="shared" si="166"/>
        <v>103.17975598478093</v>
      </c>
      <c r="N474" s="996">
        <f t="shared" si="166"/>
        <v>103.17975598478093</v>
      </c>
      <c r="O474" s="996">
        <f t="shared" si="166"/>
        <v>103.17975598478093</v>
      </c>
      <c r="P474" s="996">
        <f t="shared" si="166"/>
        <v>103.17975598478093</v>
      </c>
      <c r="Q474" s="996">
        <f t="shared" si="166"/>
        <v>106.28832616154776</v>
      </c>
      <c r="R474" s="996">
        <f t="shared" si="166"/>
        <v>107.03339049727003</v>
      </c>
      <c r="S474" s="996">
        <f t="shared" si="166"/>
        <v>109.64195407927748</v>
      </c>
      <c r="T474" s="996">
        <f t="shared" si="166"/>
        <v>109.64195407927748</v>
      </c>
      <c r="U474" s="996">
        <f t="shared" si="166"/>
        <v>110.75983005185405</v>
      </c>
      <c r="V474" s="996">
        <f t="shared" si="166"/>
        <v>116.86202986396781</v>
      </c>
      <c r="W474" s="996">
        <f t="shared" si="166"/>
        <v>122.96422967608156</v>
      </c>
      <c r="X474" s="996">
        <f t="shared" si="166"/>
        <v>138.39214001849584</v>
      </c>
      <c r="Y474" s="996">
        <f t="shared" si="166"/>
        <v>138.39214001849584</v>
      </c>
      <c r="Z474" s="996">
        <f t="shared" si="166"/>
        <v>138.39214001849584</v>
      </c>
      <c r="AA474" s="996">
        <f t="shared" si="166"/>
        <v>138.39214001849584</v>
      </c>
      <c r="AB474" s="996">
        <f t="shared" si="166"/>
        <v>138.39214001849584</v>
      </c>
      <c r="AC474" s="996">
        <f t="shared" si="166"/>
        <v>138.39214001849584</v>
      </c>
      <c r="AD474" s="996">
        <f t="shared" si="166"/>
        <v>139.78948498421653</v>
      </c>
      <c r="AE474" s="996">
        <f t="shared" si="166"/>
        <v>142.58417491565797</v>
      </c>
      <c r="AF474" s="996">
        <f t="shared" si="166"/>
        <v>143.98151988137869</v>
      </c>
    </row>
    <row r="475" spans="1:32" s="1010" customFormat="1" outlineLevel="5">
      <c r="A475" s="999"/>
      <c r="B475" s="999"/>
      <c r="C475" s="999"/>
      <c r="D475" s="1017">
        <f>D471+1</f>
        <v>98</v>
      </c>
      <c r="E475" s="1014" t="s">
        <v>1924</v>
      </c>
      <c r="F475" s="988">
        <f>+'[11]7'!$P$70*0.4+'[11]7'!$P$76*0.4</f>
        <v>32749.28832</v>
      </c>
      <c r="G475" s="987">
        <v>6.6132548991313135E-3</v>
      </c>
      <c r="H475" s="986">
        <f>IF(H133=0,100,H133/H133*100)</f>
        <v>100</v>
      </c>
      <c r="I475" s="986">
        <f t="shared" ref="I475:AF475" si="167">IF(I133=0,100,I133/H133*H475)</f>
        <v>100</v>
      </c>
      <c r="J475" s="986">
        <f t="shared" si="167"/>
        <v>100.71356633166906</v>
      </c>
      <c r="K475" s="986">
        <f t="shared" si="167"/>
        <v>100.71356633166906</v>
      </c>
      <c r="L475" s="986">
        <f t="shared" si="167"/>
        <v>100.71356633166906</v>
      </c>
      <c r="M475" s="986">
        <f t="shared" si="167"/>
        <v>100.71356633166906</v>
      </c>
      <c r="N475" s="986">
        <f t="shared" si="167"/>
        <v>100.71356633166906</v>
      </c>
      <c r="O475" s="986">
        <f t="shared" si="167"/>
        <v>100.71356633166906</v>
      </c>
      <c r="P475" s="986">
        <f t="shared" si="167"/>
        <v>100.71356633166906</v>
      </c>
      <c r="Q475" s="986">
        <f t="shared" si="167"/>
        <v>100.71356633166906</v>
      </c>
      <c r="R475" s="986">
        <f t="shared" si="167"/>
        <v>103.56997450018214</v>
      </c>
      <c r="S475" s="986">
        <f t="shared" si="167"/>
        <v>113.57061735273321</v>
      </c>
      <c r="T475" s="986">
        <f t="shared" si="167"/>
        <v>113.57061735273321</v>
      </c>
      <c r="U475" s="986">
        <f t="shared" si="167"/>
        <v>117.85630102642125</v>
      </c>
      <c r="V475" s="986">
        <f t="shared" si="167"/>
        <v>117.85630102642125</v>
      </c>
      <c r="W475" s="986">
        <f t="shared" si="167"/>
        <v>117.85630102642125</v>
      </c>
      <c r="X475" s="986">
        <f t="shared" si="167"/>
        <v>117.85630102642125</v>
      </c>
      <c r="Y475" s="986">
        <f t="shared" si="167"/>
        <v>117.85630102642125</v>
      </c>
      <c r="Z475" s="986">
        <f t="shared" si="167"/>
        <v>117.85630102642125</v>
      </c>
      <c r="AA475" s="986">
        <f t="shared" si="167"/>
        <v>117.85630102642125</v>
      </c>
      <c r="AB475" s="986">
        <f t="shared" si="167"/>
        <v>117.85630102642125</v>
      </c>
      <c r="AC475" s="986">
        <f t="shared" si="167"/>
        <v>117.85630102642125</v>
      </c>
      <c r="AD475" s="986">
        <f t="shared" si="167"/>
        <v>123.2134056185313</v>
      </c>
      <c r="AE475" s="986">
        <f t="shared" si="167"/>
        <v>133.92761480275141</v>
      </c>
      <c r="AF475" s="986">
        <f t="shared" si="167"/>
        <v>139.28471939486147</v>
      </c>
    </row>
    <row r="476" spans="1:32" s="1010" customFormat="1" outlineLevel="5">
      <c r="A476" s="999"/>
      <c r="B476" s="999"/>
      <c r="C476" s="999"/>
      <c r="D476" s="1017">
        <f>+D475+1</f>
        <v>99</v>
      </c>
      <c r="E476" s="1014" t="s">
        <v>1923</v>
      </c>
      <c r="F476" s="988">
        <f>+'[11]7'!$P$72</f>
        <v>22551.616500000004</v>
      </c>
      <c r="G476" s="987">
        <v>4.5539795199419954E-3</v>
      </c>
      <c r="H476" s="986">
        <f>IF(H134=0,100,H134/H134*100)</f>
        <v>100</v>
      </c>
      <c r="I476" s="986">
        <f t="shared" ref="I476:AF476" si="168">IF(I134=0,100,I134/H134*H476)</f>
        <v>100</v>
      </c>
      <c r="J476" s="986">
        <f t="shared" si="168"/>
        <v>103.33333333333334</v>
      </c>
      <c r="K476" s="986">
        <f t="shared" si="168"/>
        <v>103.33333333333334</v>
      </c>
      <c r="L476" s="986">
        <f t="shared" si="168"/>
        <v>116.66666666666669</v>
      </c>
      <c r="M476" s="986">
        <f t="shared" si="168"/>
        <v>116.66666666666669</v>
      </c>
      <c r="N476" s="986">
        <f t="shared" si="168"/>
        <v>116.66666666666669</v>
      </c>
      <c r="O476" s="986">
        <f t="shared" si="168"/>
        <v>116.66666666666669</v>
      </c>
      <c r="P476" s="986">
        <f t="shared" si="168"/>
        <v>116.66666666666669</v>
      </c>
      <c r="Q476" s="986">
        <f t="shared" si="168"/>
        <v>116.66666666666669</v>
      </c>
      <c r="R476" s="986">
        <f t="shared" si="168"/>
        <v>116.66666666666669</v>
      </c>
      <c r="S476" s="986">
        <f t="shared" si="168"/>
        <v>116.66666666666669</v>
      </c>
      <c r="T476" s="986">
        <f t="shared" si="168"/>
        <v>116.66666666666669</v>
      </c>
      <c r="U476" s="986">
        <f t="shared" si="168"/>
        <v>116.66666666666669</v>
      </c>
      <c r="V476" s="986">
        <f t="shared" si="168"/>
        <v>133.33333333333334</v>
      </c>
      <c r="W476" s="986">
        <f t="shared" si="168"/>
        <v>150</v>
      </c>
      <c r="X476" s="986">
        <f t="shared" si="168"/>
        <v>166.66666666666669</v>
      </c>
      <c r="Y476" s="986">
        <f t="shared" si="168"/>
        <v>166.66666666666669</v>
      </c>
      <c r="Z476" s="986">
        <f t="shared" si="168"/>
        <v>166.66666666666669</v>
      </c>
      <c r="AA476" s="986">
        <f t="shared" si="168"/>
        <v>166.66666666666669</v>
      </c>
      <c r="AB476" s="986">
        <f t="shared" si="168"/>
        <v>166.66666666666669</v>
      </c>
      <c r="AC476" s="986">
        <f t="shared" si="168"/>
        <v>166.66666666666669</v>
      </c>
      <c r="AD476" s="986">
        <f t="shared" si="168"/>
        <v>166.66666666666669</v>
      </c>
      <c r="AE476" s="986">
        <f t="shared" si="168"/>
        <v>166.66666666666669</v>
      </c>
      <c r="AF476" s="986">
        <f t="shared" si="168"/>
        <v>166.66666666666669</v>
      </c>
    </row>
    <row r="477" spans="1:32" s="1010" customFormat="1" outlineLevel="5">
      <c r="A477" s="999"/>
      <c r="B477" s="999"/>
      <c r="C477" s="999"/>
      <c r="D477" s="1017">
        <f>+D476+1</f>
        <v>100</v>
      </c>
      <c r="E477" s="1014" t="s">
        <v>1922</v>
      </c>
      <c r="F477" s="988">
        <f>+'[11]7'!$P$74*0.4+'[11]7'!$P$71*0.4+'[11]7'!$P$75*0.4+'[11]7'!$P$77+'[11]7'!$P$78</f>
        <v>70252.460420000003</v>
      </c>
      <c r="G477" s="987">
        <v>1.4186489291276107E-2</v>
      </c>
      <c r="H477" s="986">
        <f>IF(H135=0,100,H135/H135*100)</f>
        <v>100</v>
      </c>
      <c r="I477" s="986">
        <f t="shared" ref="I477:AF477" si="169">IF(I135=0,100,I135/H135*H477)</f>
        <v>100</v>
      </c>
      <c r="J477" s="986">
        <f t="shared" si="169"/>
        <v>100</v>
      </c>
      <c r="K477" s="986">
        <f t="shared" si="169"/>
        <v>100</v>
      </c>
      <c r="L477" s="986">
        <f t="shared" si="169"/>
        <v>100</v>
      </c>
      <c r="M477" s="986">
        <f t="shared" si="169"/>
        <v>100</v>
      </c>
      <c r="N477" s="986">
        <f t="shared" si="169"/>
        <v>100</v>
      </c>
      <c r="O477" s="986">
        <f t="shared" si="169"/>
        <v>100</v>
      </c>
      <c r="P477" s="986">
        <f t="shared" si="169"/>
        <v>100</v>
      </c>
      <c r="Q477" s="986">
        <f t="shared" si="169"/>
        <v>105.55555555555556</v>
      </c>
      <c r="R477" s="986">
        <f t="shared" si="169"/>
        <v>105.55555555555556</v>
      </c>
      <c r="S477" s="986">
        <f t="shared" si="169"/>
        <v>105.55555555555556</v>
      </c>
      <c r="T477" s="986">
        <f t="shared" si="169"/>
        <v>105.55555555555556</v>
      </c>
      <c r="U477" s="986">
        <f t="shared" si="169"/>
        <v>105.55555555555556</v>
      </c>
      <c r="V477" s="986">
        <f t="shared" si="169"/>
        <v>111.1111111111111</v>
      </c>
      <c r="W477" s="986">
        <f t="shared" si="169"/>
        <v>116.66666666666666</v>
      </c>
      <c r="X477" s="986">
        <f t="shared" si="169"/>
        <v>138.88888888888889</v>
      </c>
      <c r="Y477" s="986">
        <f t="shared" si="169"/>
        <v>138.88888888888889</v>
      </c>
      <c r="Z477" s="986">
        <f t="shared" si="169"/>
        <v>138.88888888888889</v>
      </c>
      <c r="AA477" s="986">
        <f t="shared" si="169"/>
        <v>138.88888888888889</v>
      </c>
      <c r="AB477" s="986">
        <f t="shared" si="169"/>
        <v>138.88888888888889</v>
      </c>
      <c r="AC477" s="986">
        <f t="shared" si="169"/>
        <v>138.88888888888889</v>
      </c>
      <c r="AD477" s="986">
        <f t="shared" si="169"/>
        <v>138.88888888888889</v>
      </c>
      <c r="AE477" s="986">
        <f t="shared" si="169"/>
        <v>138.88888888888889</v>
      </c>
      <c r="AF477" s="986">
        <f t="shared" si="169"/>
        <v>138.88888888888889</v>
      </c>
    </row>
    <row r="478" spans="1:32" outlineLevel="4">
      <c r="A478" s="999"/>
      <c r="B478" s="999"/>
      <c r="C478" s="999"/>
      <c r="D478" s="1030"/>
      <c r="E478" s="1042" t="s">
        <v>1921</v>
      </c>
      <c r="F478" s="998">
        <f>SUM(F479:F481)</f>
        <v>113741.99175999999</v>
      </c>
      <c r="G478" s="997">
        <v>2.2968584138190321E-2</v>
      </c>
      <c r="H478" s="996">
        <f t="shared" ref="H478:AF478" si="170">+SUMPRODUCT(H479:H481,$G479:$G481)/$G478</f>
        <v>99.999999999999986</v>
      </c>
      <c r="I478" s="996">
        <f t="shared" si="170"/>
        <v>99.999999999999986</v>
      </c>
      <c r="J478" s="996">
        <f t="shared" si="170"/>
        <v>99.224278225941447</v>
      </c>
      <c r="K478" s="996">
        <f t="shared" si="170"/>
        <v>99.224278225941447</v>
      </c>
      <c r="L478" s="996">
        <f t="shared" si="170"/>
        <v>99.224278225941447</v>
      </c>
      <c r="M478" s="996">
        <f t="shared" si="170"/>
        <v>99.224278225941447</v>
      </c>
      <c r="N478" s="996">
        <f t="shared" si="170"/>
        <v>99.224278225941447</v>
      </c>
      <c r="O478" s="996">
        <f t="shared" si="170"/>
        <v>99.224278225941447</v>
      </c>
      <c r="P478" s="996">
        <f t="shared" si="170"/>
        <v>99.224278225941447</v>
      </c>
      <c r="Q478" s="996">
        <f t="shared" si="170"/>
        <v>99.224278225941447</v>
      </c>
      <c r="R478" s="996">
        <f t="shared" si="170"/>
        <v>104.02890746473018</v>
      </c>
      <c r="S478" s="996">
        <f t="shared" si="170"/>
        <v>104.02890746473018</v>
      </c>
      <c r="T478" s="996">
        <f t="shared" si="170"/>
        <v>104.02890746473018</v>
      </c>
      <c r="U478" s="996">
        <f t="shared" si="170"/>
        <v>105.19190862523774</v>
      </c>
      <c r="V478" s="996">
        <f t="shared" si="170"/>
        <v>91.28640642429626</v>
      </c>
      <c r="W478" s="996">
        <f t="shared" si="170"/>
        <v>98.374515364157503</v>
      </c>
      <c r="X478" s="996">
        <f t="shared" si="170"/>
        <v>102.39387878733015</v>
      </c>
      <c r="Y478" s="996">
        <f t="shared" si="170"/>
        <v>102.39387878733015</v>
      </c>
      <c r="Z478" s="996">
        <f t="shared" si="170"/>
        <v>102.39387878733015</v>
      </c>
      <c r="AA478" s="996">
        <f t="shared" si="170"/>
        <v>102.39387878733015</v>
      </c>
      <c r="AB478" s="996">
        <f t="shared" si="170"/>
        <v>106.30622254439226</v>
      </c>
      <c r="AC478" s="996">
        <f t="shared" si="170"/>
        <v>106.30622254439226</v>
      </c>
      <c r="AD478" s="996">
        <f t="shared" si="170"/>
        <v>106.51789268216197</v>
      </c>
      <c r="AE478" s="996">
        <f t="shared" si="170"/>
        <v>110.50726185385709</v>
      </c>
      <c r="AF478" s="996">
        <f t="shared" si="170"/>
        <v>110.50726185385709</v>
      </c>
    </row>
    <row r="479" spans="1:32" s="1010" customFormat="1" outlineLevel="5">
      <c r="A479" s="999"/>
      <c r="B479" s="999"/>
      <c r="C479" s="999"/>
      <c r="D479" s="1017">
        <f>+D477+1</f>
        <v>101</v>
      </c>
      <c r="E479" s="1014" t="s">
        <v>1920</v>
      </c>
      <c r="F479" s="988">
        <f>+'[11]7'!$P$70*0.5</f>
        <v>38394.974999999999</v>
      </c>
      <c r="G479" s="987">
        <v>7.7533213558631095E-3</v>
      </c>
      <c r="H479" s="986">
        <f>IF(H137=0,100,H137/H137*100)</f>
        <v>100</v>
      </c>
      <c r="I479" s="986">
        <f t="shared" ref="I479:AF479" si="171">IF(I137=0,100,I137/H137*H479)</f>
        <v>100</v>
      </c>
      <c r="J479" s="986">
        <f t="shared" si="171"/>
        <v>100</v>
      </c>
      <c r="K479" s="986">
        <f t="shared" si="171"/>
        <v>100</v>
      </c>
      <c r="L479" s="986">
        <f t="shared" si="171"/>
        <v>100</v>
      </c>
      <c r="M479" s="986">
        <f t="shared" si="171"/>
        <v>100</v>
      </c>
      <c r="N479" s="986">
        <f t="shared" si="171"/>
        <v>100</v>
      </c>
      <c r="O479" s="986">
        <f t="shared" si="171"/>
        <v>100</v>
      </c>
      <c r="P479" s="986">
        <f t="shared" si="171"/>
        <v>100</v>
      </c>
      <c r="Q479" s="986">
        <f t="shared" si="171"/>
        <v>100</v>
      </c>
      <c r="R479" s="986">
        <f t="shared" si="171"/>
        <v>105.45454545454544</v>
      </c>
      <c r="S479" s="986">
        <f t="shared" si="171"/>
        <v>105.45454545454544</v>
      </c>
      <c r="T479" s="986">
        <f t="shared" si="171"/>
        <v>105.45454545454544</v>
      </c>
      <c r="U479" s="986">
        <f t="shared" si="171"/>
        <v>105.45454545454544</v>
      </c>
      <c r="V479" s="986">
        <f t="shared" si="171"/>
        <v>81.818181818181799</v>
      </c>
      <c r="W479" s="986">
        <f t="shared" si="171"/>
        <v>90.909090909090892</v>
      </c>
      <c r="X479" s="986">
        <f t="shared" si="171"/>
        <v>90.909090909090892</v>
      </c>
      <c r="Y479" s="986">
        <f t="shared" si="171"/>
        <v>90.909090909090892</v>
      </c>
      <c r="Z479" s="986">
        <f t="shared" si="171"/>
        <v>90.909090909090892</v>
      </c>
      <c r="AA479" s="986">
        <f t="shared" si="171"/>
        <v>90.909090909090892</v>
      </c>
      <c r="AB479" s="986">
        <f t="shared" si="171"/>
        <v>90.909090909090892</v>
      </c>
      <c r="AC479" s="986">
        <f t="shared" si="171"/>
        <v>90.909090909090892</v>
      </c>
      <c r="AD479" s="986">
        <f t="shared" si="171"/>
        <v>90.909090909090892</v>
      </c>
      <c r="AE479" s="986">
        <f t="shared" si="171"/>
        <v>102.72727272727271</v>
      </c>
      <c r="AF479" s="986">
        <f t="shared" si="171"/>
        <v>102.72727272727271</v>
      </c>
    </row>
    <row r="480" spans="1:32" s="1010" customFormat="1" outlineLevel="5">
      <c r="A480" s="999"/>
      <c r="B480" s="999"/>
      <c r="C480" s="999"/>
      <c r="D480" s="1017">
        <f>+D479+1</f>
        <v>102</v>
      </c>
      <c r="E480" s="1014" t="s">
        <v>1919</v>
      </c>
      <c r="F480" s="988">
        <f>+'[11]7'!$P$76*0.5+'[11]7'!$P$71*0.5</f>
        <v>25520.33005</v>
      </c>
      <c r="G480" s="987">
        <v>5.1534691710397014E-3</v>
      </c>
      <c r="H480" s="986">
        <f>IF(H138=0,100,H138/H138*100)</f>
        <v>100</v>
      </c>
      <c r="I480" s="986">
        <f t="shared" ref="I480:AF480" si="172">IF(I138=0,100,I138/H138*H480)</f>
        <v>100</v>
      </c>
      <c r="J480" s="986">
        <f t="shared" si="172"/>
        <v>100</v>
      </c>
      <c r="K480" s="986">
        <f t="shared" si="172"/>
        <v>100</v>
      </c>
      <c r="L480" s="986">
        <f t="shared" si="172"/>
        <v>100</v>
      </c>
      <c r="M480" s="986">
        <f t="shared" si="172"/>
        <v>100</v>
      </c>
      <c r="N480" s="986">
        <f t="shared" si="172"/>
        <v>100</v>
      </c>
      <c r="O480" s="986">
        <f t="shared" si="172"/>
        <v>100</v>
      </c>
      <c r="P480" s="986">
        <f t="shared" si="172"/>
        <v>100</v>
      </c>
      <c r="Q480" s="986">
        <f t="shared" si="172"/>
        <v>100</v>
      </c>
      <c r="R480" s="986">
        <f t="shared" si="172"/>
        <v>113.20754716981132</v>
      </c>
      <c r="S480" s="986">
        <f t="shared" si="172"/>
        <v>113.20754716981132</v>
      </c>
      <c r="T480" s="986">
        <f t="shared" si="172"/>
        <v>113.20754716981132</v>
      </c>
      <c r="U480" s="986">
        <f t="shared" si="172"/>
        <v>113.20754716981132</v>
      </c>
      <c r="V480" s="986">
        <f t="shared" si="172"/>
        <v>86.79245283018868</v>
      </c>
      <c r="W480" s="986">
        <f t="shared" si="172"/>
        <v>94.339622641509436</v>
      </c>
      <c r="X480" s="986">
        <f t="shared" si="172"/>
        <v>101.88679245283019</v>
      </c>
      <c r="Y480" s="986">
        <f t="shared" si="172"/>
        <v>101.88679245283019</v>
      </c>
      <c r="Z480" s="986">
        <f t="shared" si="172"/>
        <v>101.88679245283019</v>
      </c>
      <c r="AA480" s="986">
        <f t="shared" si="172"/>
        <v>101.88679245283019</v>
      </c>
      <c r="AB480" s="986">
        <f t="shared" si="172"/>
        <v>103.77358490566039</v>
      </c>
      <c r="AC480" s="986">
        <f t="shared" si="172"/>
        <v>103.77358490566039</v>
      </c>
      <c r="AD480" s="986">
        <f t="shared" si="172"/>
        <v>104.71698113207547</v>
      </c>
      <c r="AE480" s="986">
        <f t="shared" si="172"/>
        <v>104.71698113207547</v>
      </c>
      <c r="AF480" s="986">
        <f t="shared" si="172"/>
        <v>104.71698113207547</v>
      </c>
    </row>
    <row r="481" spans="1:32" s="1010" customFormat="1" ht="25.5" outlineLevel="5">
      <c r="A481" s="999"/>
      <c r="B481" s="999"/>
      <c r="C481" s="999"/>
      <c r="D481" s="1017">
        <f>+D480+1</f>
        <v>103</v>
      </c>
      <c r="E481" s="1014" t="s">
        <v>1918</v>
      </c>
      <c r="F481" s="988">
        <f>+'[11]7'!$P$73+'[11]7'!$P$74*0.6+'[11]7'!$P$75*0.5</f>
        <v>49826.686709999994</v>
      </c>
      <c r="G481" s="987">
        <v>1.0061793611287508E-2</v>
      </c>
      <c r="H481" s="986">
        <f>IF(H139=0,100,H139/H139*100)</f>
        <v>100</v>
      </c>
      <c r="I481" s="986">
        <f t="shared" ref="I481:AF481" si="173">IF(I139=0,100,I139/H139*H481)</f>
        <v>100</v>
      </c>
      <c r="J481" s="986">
        <f t="shared" si="173"/>
        <v>98.229219210449472</v>
      </c>
      <c r="K481" s="986">
        <f t="shared" si="173"/>
        <v>98.229219210449472</v>
      </c>
      <c r="L481" s="986">
        <f t="shared" si="173"/>
        <v>98.229219210449472</v>
      </c>
      <c r="M481" s="986">
        <f t="shared" si="173"/>
        <v>98.229219210449472</v>
      </c>
      <c r="N481" s="986">
        <f t="shared" si="173"/>
        <v>98.229219210449472</v>
      </c>
      <c r="O481" s="986">
        <f t="shared" si="173"/>
        <v>98.229219210449472</v>
      </c>
      <c r="P481" s="986">
        <f t="shared" si="173"/>
        <v>98.229219210449472</v>
      </c>
      <c r="Q481" s="986">
        <f t="shared" si="173"/>
        <v>98.229219210449472</v>
      </c>
      <c r="R481" s="986">
        <f t="shared" si="173"/>
        <v>98.229219210449472</v>
      </c>
      <c r="S481" s="986">
        <f t="shared" si="173"/>
        <v>98.229219210449472</v>
      </c>
      <c r="T481" s="986">
        <f t="shared" si="173"/>
        <v>98.229219210449472</v>
      </c>
      <c r="U481" s="986">
        <f t="shared" si="173"/>
        <v>100.88406297289404</v>
      </c>
      <c r="V481" s="986">
        <f t="shared" si="173"/>
        <v>100.88406297289404</v>
      </c>
      <c r="W481" s="986">
        <f t="shared" si="173"/>
        <v>106.1937504977832</v>
      </c>
      <c r="X481" s="986">
        <f t="shared" si="173"/>
        <v>111.50343802267237</v>
      </c>
      <c r="Y481" s="986">
        <f t="shared" si="173"/>
        <v>111.50343802267237</v>
      </c>
      <c r="Z481" s="986">
        <f t="shared" si="173"/>
        <v>111.50343802267237</v>
      </c>
      <c r="AA481" s="986">
        <f t="shared" si="173"/>
        <v>111.50343802267237</v>
      </c>
      <c r="AB481" s="986">
        <f t="shared" si="173"/>
        <v>119.46796931000611</v>
      </c>
      <c r="AC481" s="986">
        <f t="shared" si="173"/>
        <v>119.46796931000611</v>
      </c>
      <c r="AD481" s="986">
        <f t="shared" si="173"/>
        <v>119.46796931000611</v>
      </c>
      <c r="AE481" s="986">
        <f t="shared" si="173"/>
        <v>119.46796931000611</v>
      </c>
      <c r="AF481" s="986">
        <f t="shared" si="173"/>
        <v>119.46796931000611</v>
      </c>
    </row>
    <row r="482" spans="1:32" outlineLevel="4">
      <c r="A482" s="999"/>
      <c r="B482" s="999"/>
      <c r="C482" s="999"/>
      <c r="D482" s="999"/>
      <c r="E482" s="1042" t="s">
        <v>1917</v>
      </c>
      <c r="F482" s="998">
        <f>SUM(F483:F486)</f>
        <v>33155.323086000004</v>
      </c>
      <c r="G482" s="997">
        <v>6.6952478688480721E-3</v>
      </c>
      <c r="H482" s="996">
        <f t="shared" ref="H482:AF482" si="174">+SUMPRODUCT(H483:H486,$G483:$G486)/$G482</f>
        <v>99.999999999999986</v>
      </c>
      <c r="I482" s="996">
        <f t="shared" si="174"/>
        <v>99.999999999999986</v>
      </c>
      <c r="J482" s="996">
        <f t="shared" si="174"/>
        <v>99.999999999999986</v>
      </c>
      <c r="K482" s="996">
        <f t="shared" si="174"/>
        <v>99.999999999999986</v>
      </c>
      <c r="L482" s="996">
        <f t="shared" si="174"/>
        <v>99.999999999999986</v>
      </c>
      <c r="M482" s="996">
        <f t="shared" si="174"/>
        <v>99.999999999999986</v>
      </c>
      <c r="N482" s="996">
        <f t="shared" si="174"/>
        <v>99.999999999999986</v>
      </c>
      <c r="O482" s="996">
        <f t="shared" si="174"/>
        <v>100.60958347188385</v>
      </c>
      <c r="P482" s="996">
        <f t="shared" si="174"/>
        <v>100.60958347188385</v>
      </c>
      <c r="Q482" s="996">
        <f t="shared" si="174"/>
        <v>100.60958347188385</v>
      </c>
      <c r="R482" s="996">
        <f t="shared" si="174"/>
        <v>100.60958347188385</v>
      </c>
      <c r="S482" s="996">
        <f t="shared" si="174"/>
        <v>104.08683629091452</v>
      </c>
      <c r="T482" s="996">
        <f t="shared" si="174"/>
        <v>104.08683629091452</v>
      </c>
      <c r="U482" s="996">
        <f t="shared" si="174"/>
        <v>106.17532473440514</v>
      </c>
      <c r="V482" s="996">
        <f t="shared" si="174"/>
        <v>108.68100972959483</v>
      </c>
      <c r="W482" s="996">
        <f t="shared" si="174"/>
        <v>108.68100972959483</v>
      </c>
      <c r="X482" s="996">
        <f t="shared" si="174"/>
        <v>119.48325294832824</v>
      </c>
      <c r="Y482" s="996">
        <f t="shared" si="174"/>
        <v>119.48325294832824</v>
      </c>
      <c r="Z482" s="996">
        <f t="shared" si="174"/>
        <v>119.48325294832824</v>
      </c>
      <c r="AA482" s="996">
        <f t="shared" si="174"/>
        <v>119.48325294832824</v>
      </c>
      <c r="AB482" s="996">
        <f t="shared" si="174"/>
        <v>118.51168512448724</v>
      </c>
      <c r="AC482" s="996">
        <f t="shared" si="174"/>
        <v>117.59776687578581</v>
      </c>
      <c r="AD482" s="996">
        <f t="shared" si="174"/>
        <v>117.59776687578581</v>
      </c>
      <c r="AE482" s="996">
        <f t="shared" si="174"/>
        <v>127.6843787578343</v>
      </c>
      <c r="AF482" s="996">
        <f t="shared" si="174"/>
        <v>133.769571191138</v>
      </c>
    </row>
    <row r="483" spans="1:32" s="1010" customFormat="1" outlineLevel="5">
      <c r="A483" s="999"/>
      <c r="B483" s="999"/>
      <c r="C483" s="999"/>
      <c r="D483" s="1017">
        <f>+D481+1</f>
        <v>104</v>
      </c>
      <c r="E483" s="1014" t="s">
        <v>1916</v>
      </c>
      <c r="F483" s="988">
        <f>+'[11]7'!$P$70*0.1+'[11]7'!$P$79*0.5+'[11]7'!$P$76*0.1</f>
        <v>10376.049660000001</v>
      </c>
      <c r="G483" s="987">
        <v>2.0952962573455034E-3</v>
      </c>
      <c r="H483" s="986">
        <f>IF(H141=0,100,H141/H141*100)</f>
        <v>100</v>
      </c>
      <c r="I483" s="986">
        <f t="shared" ref="I483:AF483" si="175">IF(I141=0,100,I141/H141*H483)</f>
        <v>100</v>
      </c>
      <c r="J483" s="986">
        <f t="shared" si="175"/>
        <v>100</v>
      </c>
      <c r="K483" s="986">
        <f t="shared" si="175"/>
        <v>100</v>
      </c>
      <c r="L483" s="986">
        <f t="shared" si="175"/>
        <v>100</v>
      </c>
      <c r="M483" s="986">
        <f t="shared" si="175"/>
        <v>100</v>
      </c>
      <c r="N483" s="986">
        <f t="shared" si="175"/>
        <v>100</v>
      </c>
      <c r="O483" s="986">
        <f t="shared" si="175"/>
        <v>100</v>
      </c>
      <c r="P483" s="986">
        <f t="shared" si="175"/>
        <v>100</v>
      </c>
      <c r="Q483" s="986">
        <f t="shared" si="175"/>
        <v>100</v>
      </c>
      <c r="R483" s="986">
        <f t="shared" si="175"/>
        <v>100</v>
      </c>
      <c r="S483" s="986">
        <f t="shared" si="175"/>
        <v>111.11111111111111</v>
      </c>
      <c r="T483" s="986">
        <f t="shared" si="175"/>
        <v>111.11111111111111</v>
      </c>
      <c r="U483" s="986">
        <f t="shared" si="175"/>
        <v>111.11111111111111</v>
      </c>
      <c r="V483" s="986">
        <f t="shared" si="175"/>
        <v>111.11111111111111</v>
      </c>
      <c r="W483" s="986">
        <f t="shared" si="175"/>
        <v>111.11111111111111</v>
      </c>
      <c r="X483" s="986">
        <f t="shared" si="175"/>
        <v>127.77777777777777</v>
      </c>
      <c r="Y483" s="986">
        <f t="shared" si="175"/>
        <v>127.77777777777777</v>
      </c>
      <c r="Z483" s="986">
        <f t="shared" si="175"/>
        <v>127.77777777777777</v>
      </c>
      <c r="AA483" s="986">
        <f t="shared" si="175"/>
        <v>127.77777777777777</v>
      </c>
      <c r="AB483" s="986">
        <f t="shared" si="175"/>
        <v>116.66666666666666</v>
      </c>
      <c r="AC483" s="986">
        <f t="shared" si="175"/>
        <v>116.66666666666666</v>
      </c>
      <c r="AD483" s="986">
        <f t="shared" si="175"/>
        <v>116.66666666666666</v>
      </c>
      <c r="AE483" s="986">
        <f t="shared" si="175"/>
        <v>138.88888888888889</v>
      </c>
      <c r="AF483" s="986">
        <f t="shared" si="175"/>
        <v>158.33333333333331</v>
      </c>
    </row>
    <row r="484" spans="1:32" s="1010" customFormat="1" outlineLevel="5">
      <c r="A484" s="999"/>
      <c r="B484" s="999"/>
      <c r="C484" s="999"/>
      <c r="D484" s="1017">
        <f>+D483+1</f>
        <v>105</v>
      </c>
      <c r="E484" s="1026" t="s">
        <v>1915</v>
      </c>
      <c r="F484" s="988">
        <f>+'[11]7'!$P$71*0.1+'[11]7'!$P$79*0.5</f>
        <v>6784.4665100000002</v>
      </c>
      <c r="G484" s="987">
        <v>1.3700269131604087E-3</v>
      </c>
      <c r="H484" s="986">
        <f>IF(H142=0,100,H142/H142*100)</f>
        <v>100</v>
      </c>
      <c r="I484" s="986">
        <f t="shared" ref="I484:AF484" si="176">IF(I142=0,100,I142/H142*H484)</f>
        <v>100</v>
      </c>
      <c r="J484" s="986">
        <f t="shared" si="176"/>
        <v>100</v>
      </c>
      <c r="K484" s="986">
        <f t="shared" si="176"/>
        <v>100</v>
      </c>
      <c r="L484" s="986">
        <f t="shared" si="176"/>
        <v>100</v>
      </c>
      <c r="M484" s="986">
        <f t="shared" si="176"/>
        <v>100</v>
      </c>
      <c r="N484" s="986">
        <f t="shared" si="176"/>
        <v>100</v>
      </c>
      <c r="O484" s="986">
        <f t="shared" si="176"/>
        <v>100</v>
      </c>
      <c r="P484" s="986">
        <f t="shared" si="176"/>
        <v>100</v>
      </c>
      <c r="Q484" s="986">
        <f t="shared" si="176"/>
        <v>100</v>
      </c>
      <c r="R484" s="986">
        <f t="shared" si="176"/>
        <v>100</v>
      </c>
      <c r="S484" s="986">
        <f t="shared" si="176"/>
        <v>100</v>
      </c>
      <c r="T484" s="986">
        <f t="shared" si="176"/>
        <v>100</v>
      </c>
      <c r="U484" s="986">
        <f t="shared" si="176"/>
        <v>110.20633074144371</v>
      </c>
      <c r="V484" s="986">
        <f t="shared" si="176"/>
        <v>122.45147860160412</v>
      </c>
      <c r="W484" s="986">
        <f t="shared" si="176"/>
        <v>122.45147860160412</v>
      </c>
      <c r="X484" s="986">
        <f t="shared" si="176"/>
        <v>140.81920039184473</v>
      </c>
      <c r="Y484" s="986">
        <f t="shared" si="176"/>
        <v>140.81920039184473</v>
      </c>
      <c r="Z484" s="986">
        <f t="shared" si="176"/>
        <v>140.81920039184473</v>
      </c>
      <c r="AA484" s="986">
        <f t="shared" si="176"/>
        <v>140.81920039184473</v>
      </c>
      <c r="AB484" s="986">
        <f t="shared" si="176"/>
        <v>153.06434825200515</v>
      </c>
      <c r="AC484" s="986">
        <f t="shared" si="176"/>
        <v>153.06434825200515</v>
      </c>
      <c r="AD484" s="986">
        <f t="shared" si="176"/>
        <v>153.06434825200515</v>
      </c>
      <c r="AE484" s="986">
        <f t="shared" si="176"/>
        <v>168.37078307720569</v>
      </c>
      <c r="AF484" s="986">
        <f t="shared" si="176"/>
        <v>168.37078307720569</v>
      </c>
    </row>
    <row r="485" spans="1:32" s="1010" customFormat="1" outlineLevel="5">
      <c r="A485" s="999"/>
      <c r="B485" s="999"/>
      <c r="C485" s="999"/>
      <c r="D485" s="1017">
        <f>+D484+1</f>
        <v>106</v>
      </c>
      <c r="E485" s="1014" t="s">
        <v>1914</v>
      </c>
      <c r="F485" s="988">
        <f>+'[11]7'!$P$75*0.1</f>
        <v>4646.0914000000002</v>
      </c>
      <c r="G485" s="987">
        <v>9.3821234869698276E-4</v>
      </c>
      <c r="H485" s="986">
        <f>IF(H143=0,100,H143/H143*100)</f>
        <v>100</v>
      </c>
      <c r="I485" s="986">
        <f t="shared" ref="I485:AF485" si="177">IF(I143=0,100,I143/H143*H485)</f>
        <v>100</v>
      </c>
      <c r="J485" s="986">
        <f t="shared" si="177"/>
        <v>100</v>
      </c>
      <c r="K485" s="986">
        <f t="shared" si="177"/>
        <v>100</v>
      </c>
      <c r="L485" s="986">
        <f t="shared" si="177"/>
        <v>100</v>
      </c>
      <c r="M485" s="986">
        <f t="shared" si="177"/>
        <v>100</v>
      </c>
      <c r="N485" s="986">
        <f t="shared" si="177"/>
        <v>100</v>
      </c>
      <c r="O485" s="986">
        <f t="shared" si="177"/>
        <v>104.3500945672732</v>
      </c>
      <c r="P485" s="986">
        <f t="shared" si="177"/>
        <v>104.3500945672732</v>
      </c>
      <c r="Q485" s="986">
        <f t="shared" si="177"/>
        <v>104.3500945672732</v>
      </c>
      <c r="R485" s="986">
        <f t="shared" si="177"/>
        <v>104.3500945672732</v>
      </c>
      <c r="S485" s="986">
        <f t="shared" si="177"/>
        <v>104.3500945672732</v>
      </c>
      <c r="T485" s="986">
        <f t="shared" si="177"/>
        <v>104.3500945672732</v>
      </c>
      <c r="U485" s="986">
        <f t="shared" si="177"/>
        <v>104.3500945672732</v>
      </c>
      <c r="V485" s="986">
        <f t="shared" si="177"/>
        <v>104.3500945672732</v>
      </c>
      <c r="W485" s="986">
        <f t="shared" si="177"/>
        <v>104.3500945672732</v>
      </c>
      <c r="X485" s="986">
        <f t="shared" si="177"/>
        <v>117.39385638818236</v>
      </c>
      <c r="Y485" s="986">
        <f t="shared" si="177"/>
        <v>117.39385638818236</v>
      </c>
      <c r="Z485" s="986">
        <f t="shared" si="177"/>
        <v>117.39385638818236</v>
      </c>
      <c r="AA485" s="986">
        <f t="shared" si="177"/>
        <v>117.39385638818236</v>
      </c>
      <c r="AB485" s="986">
        <f t="shared" si="177"/>
        <v>117.39385638818236</v>
      </c>
      <c r="AC485" s="986">
        <f t="shared" si="177"/>
        <v>110.87197547772777</v>
      </c>
      <c r="AD485" s="986">
        <f t="shared" si="177"/>
        <v>110.87197547772777</v>
      </c>
      <c r="AE485" s="986">
        <f t="shared" si="177"/>
        <v>110.87197547772777</v>
      </c>
      <c r="AF485" s="986">
        <f t="shared" si="177"/>
        <v>110.87197547772777</v>
      </c>
    </row>
    <row r="486" spans="1:32" s="1010" customFormat="1" outlineLevel="5">
      <c r="A486" s="999"/>
      <c r="B486" s="999"/>
      <c r="C486" s="999"/>
      <c r="D486" s="1017">
        <f>+D485+1</f>
        <v>107</v>
      </c>
      <c r="E486" s="1012" t="s">
        <v>1913</v>
      </c>
      <c r="F486" s="988">
        <f>+'[11]7'!$P$80+'[11]7'!$P$81+'[11]7'!$P$82+'[11]7'!$P$63+'[11]7'!$P$64+'[11]7'!$P$65+'[11]7'!$P$66+'[11]7'!$P$67+'[11]7'!$P$68+'[11]7'!$P$69</f>
        <v>11348.715515999998</v>
      </c>
      <c r="G486" s="987">
        <v>2.291712349645177E-3</v>
      </c>
      <c r="H486" s="986">
        <f>IF(H144=0,100,H144/H144*100)</f>
        <v>100</v>
      </c>
      <c r="I486" s="986">
        <f t="shared" ref="I486:AF486" si="178">IF(I144=0,100,I144/H144*H486)</f>
        <v>100</v>
      </c>
      <c r="J486" s="986">
        <f t="shared" si="178"/>
        <v>100</v>
      </c>
      <c r="K486" s="986">
        <f t="shared" si="178"/>
        <v>100</v>
      </c>
      <c r="L486" s="986">
        <f t="shared" si="178"/>
        <v>100</v>
      </c>
      <c r="M486" s="986">
        <f t="shared" si="178"/>
        <v>100</v>
      </c>
      <c r="N486" s="986">
        <f t="shared" si="178"/>
        <v>100</v>
      </c>
      <c r="O486" s="986">
        <f t="shared" si="178"/>
        <v>100</v>
      </c>
      <c r="P486" s="986">
        <f t="shared" si="178"/>
        <v>100</v>
      </c>
      <c r="Q486" s="986">
        <f t="shared" si="178"/>
        <v>100</v>
      </c>
      <c r="R486" s="986">
        <f t="shared" si="178"/>
        <v>100</v>
      </c>
      <c r="S486" s="986">
        <f t="shared" si="178"/>
        <v>100</v>
      </c>
      <c r="T486" s="986">
        <f t="shared" si="178"/>
        <v>100</v>
      </c>
      <c r="U486" s="986">
        <f t="shared" si="178"/>
        <v>100</v>
      </c>
      <c r="V486" s="986">
        <f t="shared" si="178"/>
        <v>100</v>
      </c>
      <c r="W486" s="986">
        <f t="shared" si="178"/>
        <v>100</v>
      </c>
      <c r="X486" s="986">
        <f t="shared" si="178"/>
        <v>100</v>
      </c>
      <c r="Y486" s="986">
        <f t="shared" si="178"/>
        <v>100</v>
      </c>
      <c r="Z486" s="986">
        <f t="shared" si="178"/>
        <v>100</v>
      </c>
      <c r="AA486" s="986">
        <f t="shared" si="178"/>
        <v>100</v>
      </c>
      <c r="AB486" s="986">
        <f t="shared" si="178"/>
        <v>100</v>
      </c>
      <c r="AC486" s="986">
        <f t="shared" si="178"/>
        <v>100</v>
      </c>
      <c r="AD486" s="986">
        <f t="shared" si="178"/>
        <v>100</v>
      </c>
      <c r="AE486" s="986">
        <f t="shared" si="178"/>
        <v>100</v>
      </c>
      <c r="AF486" s="986">
        <f t="shared" si="178"/>
        <v>100</v>
      </c>
    </row>
    <row r="487" spans="1:32" outlineLevel="1">
      <c r="A487" s="1954" t="s">
        <v>1912</v>
      </c>
      <c r="B487" s="1954"/>
      <c r="C487" s="1954"/>
      <c r="D487" s="1954"/>
      <c r="E487" s="1954"/>
      <c r="F487" s="1023">
        <f>+F488+F491+F501+F513</f>
        <v>415964.87716000003</v>
      </c>
      <c r="G487" s="1022">
        <v>8.399821501052164E-2</v>
      </c>
      <c r="H487" s="1021">
        <f t="shared" ref="H487:AF487" si="179">+($G$488*H488+$G$491*H491+$G$501*H501+$G$513*H513)/$G$487</f>
        <v>100</v>
      </c>
      <c r="I487" s="1021">
        <f t="shared" si="179"/>
        <v>100</v>
      </c>
      <c r="J487" s="1021">
        <f t="shared" si="179"/>
        <v>100</v>
      </c>
      <c r="K487" s="1021">
        <f t="shared" si="179"/>
        <v>100</v>
      </c>
      <c r="L487" s="1021">
        <f t="shared" si="179"/>
        <v>100</v>
      </c>
      <c r="M487" s="1021">
        <f t="shared" si="179"/>
        <v>98.53892152833788</v>
      </c>
      <c r="N487" s="1021">
        <f t="shared" si="179"/>
        <v>98.789651618828856</v>
      </c>
      <c r="O487" s="1021">
        <f t="shared" si="179"/>
        <v>97.301733953443147</v>
      </c>
      <c r="P487" s="1021">
        <f t="shared" si="179"/>
        <v>97.301733953443147</v>
      </c>
      <c r="Q487" s="1021">
        <f t="shared" si="179"/>
        <v>99.762537209896919</v>
      </c>
      <c r="R487" s="1021">
        <f t="shared" si="179"/>
        <v>104.68414372280444</v>
      </c>
      <c r="S487" s="1021">
        <f t="shared" si="179"/>
        <v>104.67130748762933</v>
      </c>
      <c r="T487" s="1021">
        <f t="shared" si="179"/>
        <v>107.13211074408308</v>
      </c>
      <c r="U487" s="1021">
        <f t="shared" si="179"/>
        <v>107.97310777062113</v>
      </c>
      <c r="V487" s="1021">
        <f t="shared" si="179"/>
        <v>113.63458159073403</v>
      </c>
      <c r="W487" s="1021">
        <f t="shared" si="179"/>
        <v>109.27557393807163</v>
      </c>
      <c r="X487" s="1021">
        <f t="shared" si="179"/>
        <v>109.49239699442143</v>
      </c>
      <c r="Y487" s="1021">
        <f t="shared" si="179"/>
        <v>109.49239699442143</v>
      </c>
      <c r="Z487" s="1021">
        <f t="shared" si="179"/>
        <v>109.77566416385488</v>
      </c>
      <c r="AA487" s="1021">
        <f t="shared" si="179"/>
        <v>108.95803230565619</v>
      </c>
      <c r="AB487" s="1021">
        <f t="shared" si="179"/>
        <v>108.95803230565619</v>
      </c>
      <c r="AC487" s="1021">
        <f t="shared" si="179"/>
        <v>112.47062237563524</v>
      </c>
      <c r="AD487" s="1021">
        <f t="shared" si="179"/>
        <v>117.71505624862276</v>
      </c>
      <c r="AE487" s="1021">
        <f t="shared" si="179"/>
        <v>123.18545314422448</v>
      </c>
      <c r="AF487" s="1021">
        <f t="shared" si="179"/>
        <v>123.20822223520639</v>
      </c>
    </row>
    <row r="488" spans="1:32" outlineLevel="2">
      <c r="A488" s="386"/>
      <c r="B488" s="1041" t="s">
        <v>1672</v>
      </c>
      <c r="C488" s="1041"/>
      <c r="D488" s="1041"/>
      <c r="E488" s="1041"/>
      <c r="F488" s="1020">
        <f>+F489</f>
        <v>6582.0680700000012</v>
      </c>
      <c r="G488" s="1019">
        <v>1.3291554150738655E-3</v>
      </c>
      <c r="H488" s="1018">
        <f t="shared" ref="H488:AF488" si="180">+H489*$G$489/$G$488</f>
        <v>100</v>
      </c>
      <c r="I488" s="1018">
        <f t="shared" si="180"/>
        <v>100</v>
      </c>
      <c r="J488" s="1018">
        <f t="shared" si="180"/>
        <v>100</v>
      </c>
      <c r="K488" s="1018">
        <f t="shared" si="180"/>
        <v>100</v>
      </c>
      <c r="L488" s="1018">
        <f t="shared" si="180"/>
        <v>100</v>
      </c>
      <c r="M488" s="1018">
        <f t="shared" si="180"/>
        <v>100</v>
      </c>
      <c r="N488" s="1018">
        <f t="shared" si="180"/>
        <v>100</v>
      </c>
      <c r="O488" s="1018">
        <f t="shared" si="180"/>
        <v>100</v>
      </c>
      <c r="P488" s="1018">
        <f t="shared" si="180"/>
        <v>100</v>
      </c>
      <c r="Q488" s="1018">
        <f t="shared" si="180"/>
        <v>100</v>
      </c>
      <c r="R488" s="1018">
        <f t="shared" si="180"/>
        <v>100</v>
      </c>
      <c r="S488" s="1018">
        <f t="shared" si="180"/>
        <v>100</v>
      </c>
      <c r="T488" s="1018">
        <f t="shared" si="180"/>
        <v>100</v>
      </c>
      <c r="U488" s="1018">
        <f t="shared" si="180"/>
        <v>100</v>
      </c>
      <c r="V488" s="1018">
        <f t="shared" si="180"/>
        <v>100</v>
      </c>
      <c r="W488" s="1018">
        <f t="shared" si="180"/>
        <v>100</v>
      </c>
      <c r="X488" s="1018">
        <f t="shared" si="180"/>
        <v>100</v>
      </c>
      <c r="Y488" s="1018">
        <f t="shared" si="180"/>
        <v>100</v>
      </c>
      <c r="Z488" s="1018">
        <f t="shared" si="180"/>
        <v>100</v>
      </c>
      <c r="AA488" s="1018">
        <f t="shared" si="180"/>
        <v>100</v>
      </c>
      <c r="AB488" s="1018">
        <f t="shared" si="180"/>
        <v>100</v>
      </c>
      <c r="AC488" s="1018">
        <f t="shared" si="180"/>
        <v>100</v>
      </c>
      <c r="AD488" s="1018">
        <f t="shared" si="180"/>
        <v>100</v>
      </c>
      <c r="AE488" s="1018">
        <f t="shared" si="180"/>
        <v>100</v>
      </c>
      <c r="AF488" s="1018">
        <f t="shared" si="180"/>
        <v>100</v>
      </c>
    </row>
    <row r="489" spans="1:32" outlineLevel="3">
      <c r="A489" s="386"/>
      <c r="B489" s="1040"/>
      <c r="C489" s="1039" t="s">
        <v>1911</v>
      </c>
      <c r="D489" s="1040"/>
      <c r="E489" s="1040"/>
      <c r="F489" s="998">
        <f>SUM(F490)</f>
        <v>6582.0680700000012</v>
      </c>
      <c r="G489" s="997">
        <v>1.3291554150738655E-3</v>
      </c>
      <c r="H489" s="996">
        <f t="shared" ref="H489:AF489" si="181">+SUMPRODUCT(H490,$G490)/$G489</f>
        <v>100</v>
      </c>
      <c r="I489" s="996">
        <f t="shared" si="181"/>
        <v>100</v>
      </c>
      <c r="J489" s="996">
        <f t="shared" si="181"/>
        <v>100</v>
      </c>
      <c r="K489" s="996">
        <f t="shared" si="181"/>
        <v>100</v>
      </c>
      <c r="L489" s="996">
        <f t="shared" si="181"/>
        <v>100</v>
      </c>
      <c r="M489" s="996">
        <f t="shared" si="181"/>
        <v>100</v>
      </c>
      <c r="N489" s="996">
        <f t="shared" si="181"/>
        <v>100</v>
      </c>
      <c r="O489" s="996">
        <f t="shared" si="181"/>
        <v>100</v>
      </c>
      <c r="P489" s="996">
        <f t="shared" si="181"/>
        <v>100</v>
      </c>
      <c r="Q489" s="996">
        <f t="shared" si="181"/>
        <v>100</v>
      </c>
      <c r="R489" s="996">
        <f t="shared" si="181"/>
        <v>100</v>
      </c>
      <c r="S489" s="996">
        <f t="shared" si="181"/>
        <v>100</v>
      </c>
      <c r="T489" s="996">
        <f t="shared" si="181"/>
        <v>100</v>
      </c>
      <c r="U489" s="996">
        <f t="shared" si="181"/>
        <v>100</v>
      </c>
      <c r="V489" s="996">
        <f t="shared" si="181"/>
        <v>100</v>
      </c>
      <c r="W489" s="996">
        <f t="shared" si="181"/>
        <v>100</v>
      </c>
      <c r="X489" s="996">
        <f t="shared" si="181"/>
        <v>100</v>
      </c>
      <c r="Y489" s="996">
        <f t="shared" si="181"/>
        <v>100</v>
      </c>
      <c r="Z489" s="996">
        <f t="shared" si="181"/>
        <v>100</v>
      </c>
      <c r="AA489" s="996">
        <f t="shared" si="181"/>
        <v>100</v>
      </c>
      <c r="AB489" s="996">
        <f t="shared" si="181"/>
        <v>100</v>
      </c>
      <c r="AC489" s="996">
        <f t="shared" si="181"/>
        <v>100</v>
      </c>
      <c r="AD489" s="996">
        <f t="shared" si="181"/>
        <v>100</v>
      </c>
      <c r="AE489" s="996">
        <f t="shared" si="181"/>
        <v>100</v>
      </c>
      <c r="AF489" s="996">
        <f t="shared" si="181"/>
        <v>100</v>
      </c>
    </row>
    <row r="490" spans="1:32" outlineLevel="4">
      <c r="A490" s="386"/>
      <c r="B490" s="1040"/>
      <c r="C490" s="1039"/>
      <c r="D490" s="84">
        <v>108</v>
      </c>
      <c r="E490" s="1016" t="s">
        <v>1910</v>
      </c>
      <c r="F490" s="988">
        <f>+'[12]7'!$P$348+'[12]7'!$P$347</f>
        <v>6582.0680700000012</v>
      </c>
      <c r="G490" s="987">
        <v>1.3291554150738655E-3</v>
      </c>
      <c r="H490" s="986">
        <f>IF(H148=0,100,H148/H148*100)</f>
        <v>100</v>
      </c>
      <c r="I490" s="986">
        <f t="shared" ref="I490:AF490" si="182">IF(I148=0,100,I148/H148*H490)</f>
        <v>100</v>
      </c>
      <c r="J490" s="986">
        <f t="shared" si="182"/>
        <v>100</v>
      </c>
      <c r="K490" s="986">
        <f t="shared" si="182"/>
        <v>100</v>
      </c>
      <c r="L490" s="986">
        <f t="shared" si="182"/>
        <v>100</v>
      </c>
      <c r="M490" s="986">
        <f t="shared" si="182"/>
        <v>100</v>
      </c>
      <c r="N490" s="986">
        <f t="shared" si="182"/>
        <v>100</v>
      </c>
      <c r="O490" s="986">
        <f t="shared" si="182"/>
        <v>100</v>
      </c>
      <c r="P490" s="986">
        <f t="shared" si="182"/>
        <v>100</v>
      </c>
      <c r="Q490" s="986">
        <f t="shared" si="182"/>
        <v>100</v>
      </c>
      <c r="R490" s="986">
        <f t="shared" si="182"/>
        <v>100</v>
      </c>
      <c r="S490" s="986">
        <f t="shared" si="182"/>
        <v>100</v>
      </c>
      <c r="T490" s="986">
        <f t="shared" si="182"/>
        <v>100</v>
      </c>
      <c r="U490" s="986">
        <f t="shared" si="182"/>
        <v>100</v>
      </c>
      <c r="V490" s="986">
        <f t="shared" si="182"/>
        <v>100</v>
      </c>
      <c r="W490" s="986">
        <f t="shared" si="182"/>
        <v>100</v>
      </c>
      <c r="X490" s="986">
        <f t="shared" si="182"/>
        <v>100</v>
      </c>
      <c r="Y490" s="986">
        <f t="shared" si="182"/>
        <v>100</v>
      </c>
      <c r="Z490" s="986">
        <f t="shared" si="182"/>
        <v>100</v>
      </c>
      <c r="AA490" s="986">
        <f t="shared" si="182"/>
        <v>100</v>
      </c>
      <c r="AB490" s="986">
        <f t="shared" si="182"/>
        <v>100</v>
      </c>
      <c r="AC490" s="986">
        <f t="shared" si="182"/>
        <v>100</v>
      </c>
      <c r="AD490" s="986">
        <f t="shared" si="182"/>
        <v>100</v>
      </c>
      <c r="AE490" s="986">
        <f t="shared" si="182"/>
        <v>100</v>
      </c>
      <c r="AF490" s="986">
        <f t="shared" si="182"/>
        <v>100</v>
      </c>
    </row>
    <row r="491" spans="1:32" outlineLevel="2">
      <c r="A491" s="999"/>
      <c r="B491" s="1955" t="s">
        <v>1909</v>
      </c>
      <c r="C491" s="1955"/>
      <c r="D491" s="1955"/>
      <c r="E491" s="1955"/>
      <c r="F491" s="1020">
        <f>+F492+F499</f>
        <v>69508.921010000005</v>
      </c>
      <c r="G491" s="1019">
        <v>1.4036342039286E-2</v>
      </c>
      <c r="H491" s="1018">
        <f t="shared" ref="H491:AF491" si="183">+($G$492*H492+$G$499*H499)/$G$491</f>
        <v>100</v>
      </c>
      <c r="I491" s="1018">
        <f t="shared" si="183"/>
        <v>100</v>
      </c>
      <c r="J491" s="1018">
        <f t="shared" si="183"/>
        <v>100</v>
      </c>
      <c r="K491" s="1018">
        <f t="shared" si="183"/>
        <v>100</v>
      </c>
      <c r="L491" s="1018">
        <f t="shared" si="183"/>
        <v>100</v>
      </c>
      <c r="M491" s="1018">
        <f t="shared" si="183"/>
        <v>100.09217964388262</v>
      </c>
      <c r="N491" s="1018">
        <f t="shared" si="183"/>
        <v>101.59263325150509</v>
      </c>
      <c r="O491" s="1018">
        <f t="shared" si="183"/>
        <v>98.578942402212007</v>
      </c>
      <c r="P491" s="1018">
        <f t="shared" si="183"/>
        <v>98.578942402212007</v>
      </c>
      <c r="Q491" s="1018">
        <f t="shared" si="183"/>
        <v>98.578942402212007</v>
      </c>
      <c r="R491" s="1018">
        <f t="shared" si="183"/>
        <v>98.578942402212007</v>
      </c>
      <c r="S491" s="1018">
        <f t="shared" si="183"/>
        <v>98.502126032309846</v>
      </c>
      <c r="T491" s="1018">
        <f t="shared" si="183"/>
        <v>98.502126032309846</v>
      </c>
      <c r="U491" s="1018">
        <f t="shared" si="183"/>
        <v>102.03688362821575</v>
      </c>
      <c r="V491" s="1018">
        <f t="shared" si="183"/>
        <v>103.29924780488714</v>
      </c>
      <c r="W491" s="1018">
        <f t="shared" si="183"/>
        <v>107.88496772220016</v>
      </c>
      <c r="X491" s="1018">
        <f t="shared" si="183"/>
        <v>107.88496772220016</v>
      </c>
      <c r="Y491" s="1018">
        <f t="shared" si="183"/>
        <v>107.88496772220016</v>
      </c>
      <c r="Z491" s="1018">
        <f t="shared" si="183"/>
        <v>109.58013420766309</v>
      </c>
      <c r="AA491" s="1018">
        <f t="shared" si="183"/>
        <v>104.68714881074139</v>
      </c>
      <c r="AB491" s="1018">
        <f t="shared" si="183"/>
        <v>104.68714881074139</v>
      </c>
      <c r="AC491" s="1018">
        <f t="shared" si="183"/>
        <v>105.09088523139789</v>
      </c>
      <c r="AD491" s="1018">
        <f t="shared" si="183"/>
        <v>107.70806230789704</v>
      </c>
      <c r="AE491" s="1018">
        <f t="shared" si="183"/>
        <v>108.55433308639105</v>
      </c>
      <c r="AF491" s="1018">
        <f t="shared" si="183"/>
        <v>108.69059102272087</v>
      </c>
    </row>
    <row r="492" spans="1:32" s="1010" customFormat="1" outlineLevel="3">
      <c r="A492" s="999"/>
      <c r="B492" s="999"/>
      <c r="C492" s="1027" t="s">
        <v>1908</v>
      </c>
      <c r="D492" s="1027"/>
      <c r="E492" s="1027"/>
      <c r="F492" s="998">
        <f>SUM(F493:F498)</f>
        <v>58394.481910000002</v>
      </c>
      <c r="G492" s="997">
        <v>1.1791938493445172E-2</v>
      </c>
      <c r="H492" s="996">
        <f t="shared" ref="H492:AF492" si="184">+SUMPRODUCT(H493:H498,$G493:$G498)/$G492</f>
        <v>100.00000000000001</v>
      </c>
      <c r="I492" s="996">
        <f t="shared" si="184"/>
        <v>100.00000000000001</v>
      </c>
      <c r="J492" s="996">
        <f t="shared" si="184"/>
        <v>100.00000000000001</v>
      </c>
      <c r="K492" s="996">
        <f t="shared" si="184"/>
        <v>100.00000000000001</v>
      </c>
      <c r="L492" s="996">
        <f t="shared" si="184"/>
        <v>100.00000000000001</v>
      </c>
      <c r="M492" s="996">
        <f t="shared" si="184"/>
        <v>100.10972453861723</v>
      </c>
      <c r="N492" s="996">
        <f t="shared" si="184"/>
        <v>100.89400863359812</v>
      </c>
      <c r="O492" s="996">
        <f t="shared" si="184"/>
        <v>96.304954354465664</v>
      </c>
      <c r="P492" s="996">
        <f t="shared" si="184"/>
        <v>96.304954354465664</v>
      </c>
      <c r="Q492" s="996">
        <f t="shared" si="184"/>
        <v>96.304954354465664</v>
      </c>
      <c r="R492" s="996">
        <f t="shared" si="184"/>
        <v>96.304954354465664</v>
      </c>
      <c r="S492" s="996">
        <f t="shared" si="184"/>
        <v>96.213517238951326</v>
      </c>
      <c r="T492" s="996">
        <f t="shared" si="184"/>
        <v>96.213517238951326</v>
      </c>
      <c r="U492" s="996">
        <f t="shared" si="184"/>
        <v>100.4210584052896</v>
      </c>
      <c r="V492" s="996">
        <f t="shared" si="184"/>
        <v>100.4210584052896</v>
      </c>
      <c r="W492" s="996">
        <f t="shared" si="184"/>
        <v>105.87959546359868</v>
      </c>
      <c r="X492" s="996">
        <f t="shared" si="184"/>
        <v>105.87959546359868</v>
      </c>
      <c r="Y492" s="996">
        <f t="shared" si="184"/>
        <v>105.87959546359868</v>
      </c>
      <c r="Z492" s="996">
        <f t="shared" si="184"/>
        <v>105.39301821399157</v>
      </c>
      <c r="AA492" s="996">
        <f t="shared" si="184"/>
        <v>99.568732693625122</v>
      </c>
      <c r="AB492" s="996">
        <f t="shared" si="184"/>
        <v>99.568732693625122</v>
      </c>
      <c r="AC492" s="996">
        <f t="shared" si="184"/>
        <v>100.0493137700276</v>
      </c>
      <c r="AD492" s="996">
        <f t="shared" si="184"/>
        <v>102.66374968483703</v>
      </c>
      <c r="AE492" s="996">
        <f t="shared" si="184"/>
        <v>102.91977700600414</v>
      </c>
      <c r="AF492" s="996">
        <f t="shared" si="184"/>
        <v>103.08196942253986</v>
      </c>
    </row>
    <row r="493" spans="1:32" s="1010" customFormat="1" outlineLevel="4">
      <c r="A493" s="999"/>
      <c r="B493" s="999"/>
      <c r="C493" s="999"/>
      <c r="D493" s="1015">
        <f>+D490+1</f>
        <v>109</v>
      </c>
      <c r="E493" s="1014" t="s">
        <v>1907</v>
      </c>
      <c r="F493" s="988">
        <f>+'[11]7'!$P$359+'[11]7'!$P$358</f>
        <v>20017.839930000002</v>
      </c>
      <c r="G493" s="987">
        <v>4.0423192312931139E-3</v>
      </c>
      <c r="H493" s="986">
        <f t="shared" ref="H493:H498" si="185">IF(H151=0,100,H151/H151*100)</f>
        <v>100</v>
      </c>
      <c r="I493" s="986">
        <f t="shared" ref="I493:AF493" si="186">IF(I151=0,100,I151/H151*H493)</f>
        <v>100</v>
      </c>
      <c r="J493" s="986">
        <f t="shared" si="186"/>
        <v>100</v>
      </c>
      <c r="K493" s="986">
        <f t="shared" si="186"/>
        <v>100</v>
      </c>
      <c r="L493" s="986">
        <f t="shared" si="186"/>
        <v>100</v>
      </c>
      <c r="M493" s="986">
        <f t="shared" si="186"/>
        <v>100</v>
      </c>
      <c r="N493" s="986">
        <f t="shared" si="186"/>
        <v>101.75438596491229</v>
      </c>
      <c r="O493" s="986">
        <f t="shared" si="186"/>
        <v>94.736842105263165</v>
      </c>
      <c r="P493" s="986">
        <f t="shared" si="186"/>
        <v>94.736842105263165</v>
      </c>
      <c r="Q493" s="986">
        <f t="shared" si="186"/>
        <v>94.736842105263165</v>
      </c>
      <c r="R493" s="986">
        <f t="shared" si="186"/>
        <v>94.736842105263165</v>
      </c>
      <c r="S493" s="986">
        <f t="shared" si="186"/>
        <v>94.736842105263165</v>
      </c>
      <c r="T493" s="986">
        <f t="shared" si="186"/>
        <v>94.736842105263165</v>
      </c>
      <c r="U493" s="986">
        <f t="shared" si="186"/>
        <v>91.228070175438603</v>
      </c>
      <c r="V493" s="986">
        <f t="shared" si="186"/>
        <v>91.228070175438603</v>
      </c>
      <c r="W493" s="986">
        <f t="shared" si="186"/>
        <v>91.228070175438603</v>
      </c>
      <c r="X493" s="986">
        <f t="shared" si="186"/>
        <v>91.228070175438603</v>
      </c>
      <c r="Y493" s="986">
        <f t="shared" si="186"/>
        <v>91.228070175438603</v>
      </c>
      <c r="Z493" s="986">
        <f t="shared" si="186"/>
        <v>91.228070175438603</v>
      </c>
      <c r="AA493" s="986">
        <f t="shared" si="186"/>
        <v>91.228070175438603</v>
      </c>
      <c r="AB493" s="986">
        <f t="shared" si="186"/>
        <v>91.228070175438603</v>
      </c>
      <c r="AC493" s="986">
        <f t="shared" si="186"/>
        <v>92.982456140350877</v>
      </c>
      <c r="AD493" s="986">
        <f t="shared" si="186"/>
        <v>91.228070175438603</v>
      </c>
      <c r="AE493" s="986">
        <f t="shared" si="186"/>
        <v>91.228070175438603</v>
      </c>
      <c r="AF493" s="986">
        <f t="shared" si="186"/>
        <v>91.228070175438603</v>
      </c>
    </row>
    <row r="494" spans="1:32" s="1010" customFormat="1" outlineLevel="4">
      <c r="A494" s="999"/>
      <c r="B494" s="999"/>
      <c r="C494" s="999"/>
      <c r="D494" s="1015">
        <f>+D493+1</f>
        <v>110</v>
      </c>
      <c r="E494" s="1014" t="s">
        <v>1906</v>
      </c>
      <c r="F494" s="988">
        <f>+'[11]7'!$P$361</f>
        <v>1751.3307399999999</v>
      </c>
      <c r="G494" s="987">
        <v>3.5365643622952076E-4</v>
      </c>
      <c r="H494" s="986">
        <f t="shared" si="185"/>
        <v>100</v>
      </c>
      <c r="I494" s="986">
        <f t="shared" ref="I494:AF494" si="187">IF(I152=0,100,I152/H152*H494)</f>
        <v>100</v>
      </c>
      <c r="J494" s="986">
        <f t="shared" si="187"/>
        <v>100</v>
      </c>
      <c r="K494" s="986">
        <f t="shared" si="187"/>
        <v>100</v>
      </c>
      <c r="L494" s="986">
        <f t="shared" si="187"/>
        <v>100</v>
      </c>
      <c r="M494" s="986">
        <f t="shared" si="187"/>
        <v>103.65853658536585</v>
      </c>
      <c r="N494" s="986">
        <f t="shared" si="187"/>
        <v>109.7560975609756</v>
      </c>
      <c r="O494" s="986">
        <f t="shared" si="187"/>
        <v>109.7560975609756</v>
      </c>
      <c r="P494" s="986">
        <f t="shared" si="187"/>
        <v>109.7560975609756</v>
      </c>
      <c r="Q494" s="986">
        <f t="shared" si="187"/>
        <v>109.7560975609756</v>
      </c>
      <c r="R494" s="986">
        <f t="shared" si="187"/>
        <v>109.7560975609756</v>
      </c>
      <c r="S494" s="986">
        <f t="shared" si="187"/>
        <v>106.70731707317073</v>
      </c>
      <c r="T494" s="986">
        <f t="shared" si="187"/>
        <v>106.70731707317073</v>
      </c>
      <c r="U494" s="986">
        <f t="shared" si="187"/>
        <v>109.75609756097559</v>
      </c>
      <c r="V494" s="986">
        <f t="shared" si="187"/>
        <v>109.75609756097559</v>
      </c>
      <c r="W494" s="986">
        <f t="shared" si="187"/>
        <v>109.75609756097559</v>
      </c>
      <c r="X494" s="986">
        <f t="shared" si="187"/>
        <v>109.75609756097559</v>
      </c>
      <c r="Y494" s="986">
        <f t="shared" si="187"/>
        <v>109.75609756097559</v>
      </c>
      <c r="Z494" s="986">
        <f t="shared" si="187"/>
        <v>109.75609756097559</v>
      </c>
      <c r="AA494" s="986">
        <f t="shared" si="187"/>
        <v>97.560975609756071</v>
      </c>
      <c r="AB494" s="986">
        <f t="shared" si="187"/>
        <v>97.560975609756071</v>
      </c>
      <c r="AC494" s="986">
        <f t="shared" si="187"/>
        <v>109.75609756097558</v>
      </c>
      <c r="AD494" s="986">
        <f t="shared" si="187"/>
        <v>109.75609756097558</v>
      </c>
      <c r="AE494" s="986">
        <f t="shared" si="187"/>
        <v>109.75609756097558</v>
      </c>
      <c r="AF494" s="986">
        <f t="shared" si="187"/>
        <v>109.75609756097558</v>
      </c>
    </row>
    <row r="495" spans="1:32" s="1010" customFormat="1" outlineLevel="4">
      <c r="A495" s="999"/>
      <c r="B495" s="999"/>
      <c r="C495" s="999"/>
      <c r="D495" s="1015">
        <f>+D494+1</f>
        <v>111</v>
      </c>
      <c r="E495" s="1026" t="s">
        <v>1905</v>
      </c>
      <c r="F495" s="988">
        <f>+'[11]7'!$P$362</f>
        <v>2136.9818500000001</v>
      </c>
      <c r="G495" s="987">
        <v>4.3153321534124863E-4</v>
      </c>
      <c r="H495" s="986">
        <f t="shared" si="185"/>
        <v>100</v>
      </c>
      <c r="I495" s="986">
        <f t="shared" ref="I495:AF495" si="188">IF(I153=0,100,I153/H153*H495)</f>
        <v>100</v>
      </c>
      <c r="J495" s="986">
        <f t="shared" si="188"/>
        <v>100</v>
      </c>
      <c r="K495" s="986">
        <f t="shared" si="188"/>
        <v>100</v>
      </c>
      <c r="L495" s="986">
        <f t="shared" si="188"/>
        <v>100</v>
      </c>
      <c r="M495" s="986">
        <f t="shared" si="188"/>
        <v>100</v>
      </c>
      <c r="N495" s="986">
        <f t="shared" si="188"/>
        <v>100</v>
      </c>
      <c r="O495" s="986">
        <f t="shared" si="188"/>
        <v>100</v>
      </c>
      <c r="P495" s="986">
        <f t="shared" si="188"/>
        <v>100</v>
      </c>
      <c r="Q495" s="986">
        <f t="shared" si="188"/>
        <v>100</v>
      </c>
      <c r="R495" s="986">
        <f t="shared" si="188"/>
        <v>100</v>
      </c>
      <c r="S495" s="986">
        <f t="shared" si="188"/>
        <v>100</v>
      </c>
      <c r="T495" s="986">
        <f t="shared" si="188"/>
        <v>100</v>
      </c>
      <c r="U495" s="986">
        <f t="shared" si="188"/>
        <v>107.69230769230769</v>
      </c>
      <c r="V495" s="986">
        <f t="shared" si="188"/>
        <v>107.69230769230769</v>
      </c>
      <c r="W495" s="986">
        <f t="shared" si="188"/>
        <v>107.69230769230769</v>
      </c>
      <c r="X495" s="986">
        <f t="shared" si="188"/>
        <v>107.69230769230769</v>
      </c>
      <c r="Y495" s="986">
        <f t="shared" si="188"/>
        <v>107.69230769230769</v>
      </c>
      <c r="Z495" s="986">
        <f t="shared" si="188"/>
        <v>107.69230769230769</v>
      </c>
      <c r="AA495" s="986">
        <f t="shared" si="188"/>
        <v>107.69230769230769</v>
      </c>
      <c r="AB495" s="986">
        <f t="shared" si="188"/>
        <v>107.69230769230769</v>
      </c>
      <c r="AC495" s="986">
        <f t="shared" si="188"/>
        <v>107.69230769230769</v>
      </c>
      <c r="AD495" s="986">
        <f t="shared" si="188"/>
        <v>107.69230769230769</v>
      </c>
      <c r="AE495" s="986">
        <f t="shared" si="188"/>
        <v>110.25641025641028</v>
      </c>
      <c r="AF495" s="986">
        <f t="shared" si="188"/>
        <v>110.25641025641028</v>
      </c>
    </row>
    <row r="496" spans="1:32" s="1010" customFormat="1" outlineLevel="4">
      <c r="A496" s="999"/>
      <c r="B496" s="999"/>
      <c r="C496" s="999"/>
      <c r="D496" s="1015">
        <f>+D495+1</f>
        <v>112</v>
      </c>
      <c r="E496" s="1014" t="s">
        <v>1904</v>
      </c>
      <c r="F496" s="988">
        <f>+'[11]7'!$P$360+'[11]7'!$P$363</f>
        <v>24543.630150000001</v>
      </c>
      <c r="G496" s="987">
        <v>4.9562384606944192E-3</v>
      </c>
      <c r="H496" s="986">
        <f t="shared" si="185"/>
        <v>100</v>
      </c>
      <c r="I496" s="986">
        <f t="shared" ref="I496:AF496" si="189">IF(I154=0,100,I154/H154*H496)</f>
        <v>100</v>
      </c>
      <c r="J496" s="986">
        <f t="shared" si="189"/>
        <v>100</v>
      </c>
      <c r="K496" s="986">
        <f t="shared" si="189"/>
        <v>100</v>
      </c>
      <c r="L496" s="986">
        <f t="shared" si="189"/>
        <v>100</v>
      </c>
      <c r="M496" s="986">
        <f t="shared" si="189"/>
        <v>100</v>
      </c>
      <c r="N496" s="986">
        <f t="shared" si="189"/>
        <v>100</v>
      </c>
      <c r="O496" s="986">
        <f t="shared" si="189"/>
        <v>94.805194805194802</v>
      </c>
      <c r="P496" s="986">
        <f t="shared" si="189"/>
        <v>94.805194805194802</v>
      </c>
      <c r="Q496" s="986">
        <f t="shared" si="189"/>
        <v>94.805194805194802</v>
      </c>
      <c r="R496" s="986">
        <f t="shared" si="189"/>
        <v>94.805194805194802</v>
      </c>
      <c r="S496" s="986">
        <f t="shared" si="189"/>
        <v>94.805194805194802</v>
      </c>
      <c r="T496" s="986">
        <f t="shared" si="189"/>
        <v>94.805194805194802</v>
      </c>
      <c r="U496" s="986">
        <f t="shared" si="189"/>
        <v>103.89610389610388</v>
      </c>
      <c r="V496" s="986">
        <f t="shared" si="189"/>
        <v>103.89610389610388</v>
      </c>
      <c r="W496" s="986">
        <f t="shared" si="189"/>
        <v>116.88311688311687</v>
      </c>
      <c r="X496" s="986">
        <f t="shared" si="189"/>
        <v>116.88311688311687</v>
      </c>
      <c r="Y496" s="986">
        <f t="shared" si="189"/>
        <v>116.88311688311687</v>
      </c>
      <c r="Z496" s="986">
        <f t="shared" si="189"/>
        <v>116.88311688311687</v>
      </c>
      <c r="AA496" s="986">
        <f t="shared" si="189"/>
        <v>103.89610389610388</v>
      </c>
      <c r="AB496" s="986">
        <f t="shared" si="189"/>
        <v>103.89610389610388</v>
      </c>
      <c r="AC496" s="986">
        <f t="shared" si="189"/>
        <v>103.89610389610388</v>
      </c>
      <c r="AD496" s="986">
        <f t="shared" si="189"/>
        <v>110.38961038961037</v>
      </c>
      <c r="AE496" s="986">
        <f t="shared" si="189"/>
        <v>110.38961038961037</v>
      </c>
      <c r="AF496" s="986">
        <f t="shared" si="189"/>
        <v>110.38961038961037</v>
      </c>
    </row>
    <row r="497" spans="1:32" s="1010" customFormat="1" outlineLevel="4">
      <c r="A497" s="999"/>
      <c r="B497" s="999"/>
      <c r="C497" s="999"/>
      <c r="D497" s="1015">
        <f>+D496+1</f>
        <v>113</v>
      </c>
      <c r="E497" s="1026" t="s">
        <v>1903</v>
      </c>
      <c r="F497" s="988">
        <f>+('[12]7'!$P$364+'[12]7'!$P$365+'[12]7'!$P$366+'[12]7'!$P$367+'[12]7'!$P$368+'[12]7'!$P$369)/2</f>
        <v>4972.34962</v>
      </c>
      <c r="G497" s="987">
        <v>1.0040955749434351E-3</v>
      </c>
      <c r="H497" s="986">
        <f t="shared" si="185"/>
        <v>100</v>
      </c>
      <c r="I497" s="986">
        <f t="shared" ref="I497:AF497" si="190">IF(I155=0,100,I155/H155*H497)</f>
        <v>100</v>
      </c>
      <c r="J497" s="986">
        <f t="shared" si="190"/>
        <v>100</v>
      </c>
      <c r="K497" s="986">
        <f t="shared" si="190"/>
        <v>100</v>
      </c>
      <c r="L497" s="986">
        <f t="shared" si="190"/>
        <v>100</v>
      </c>
      <c r="M497" s="986">
        <f t="shared" si="190"/>
        <v>100</v>
      </c>
      <c r="N497" s="986">
        <f t="shared" si="190"/>
        <v>100</v>
      </c>
      <c r="O497" s="986">
        <f t="shared" si="190"/>
        <v>100</v>
      </c>
      <c r="P497" s="986">
        <f t="shared" si="190"/>
        <v>100</v>
      </c>
      <c r="Q497" s="986">
        <f t="shared" si="190"/>
        <v>100</v>
      </c>
      <c r="R497" s="986">
        <f t="shared" si="190"/>
        <v>100</v>
      </c>
      <c r="S497" s="986">
        <f t="shared" si="190"/>
        <v>100</v>
      </c>
      <c r="T497" s="986">
        <f t="shared" si="190"/>
        <v>100</v>
      </c>
      <c r="U497" s="986">
        <f t="shared" si="190"/>
        <v>100</v>
      </c>
      <c r="V497" s="986">
        <f t="shared" si="190"/>
        <v>100</v>
      </c>
      <c r="W497" s="986">
        <f t="shared" si="190"/>
        <v>100</v>
      </c>
      <c r="X497" s="986">
        <f t="shared" si="190"/>
        <v>100</v>
      </c>
      <c r="Y497" s="986">
        <f t="shared" si="190"/>
        <v>100</v>
      </c>
      <c r="Z497" s="986">
        <f t="shared" si="190"/>
        <v>100</v>
      </c>
      <c r="AA497" s="986">
        <f t="shared" si="190"/>
        <v>100</v>
      </c>
      <c r="AB497" s="986">
        <f t="shared" si="190"/>
        <v>100</v>
      </c>
      <c r="AC497" s="986">
        <f t="shared" si="190"/>
        <v>100</v>
      </c>
      <c r="AD497" s="986">
        <f t="shared" si="190"/>
        <v>100</v>
      </c>
      <c r="AE497" s="986">
        <f t="shared" si="190"/>
        <v>100</v>
      </c>
      <c r="AF497" s="986">
        <f t="shared" si="190"/>
        <v>100</v>
      </c>
    </row>
    <row r="498" spans="1:32" outlineLevel="4">
      <c r="A498" s="999"/>
      <c r="B498" s="999"/>
      <c r="C498" s="999"/>
      <c r="D498" s="1015">
        <f>+D497+1</f>
        <v>114</v>
      </c>
      <c r="E498" s="1026" t="s">
        <v>1902</v>
      </c>
      <c r="F498" s="988">
        <f>+('[12]7'!$P$364+'[12]7'!$P$365+'[12]7'!$P$366+'[12]7'!$P$367+'[12]7'!$P$368+'[12]7'!$P$369)/2</f>
        <v>4972.34962</v>
      </c>
      <c r="G498" s="987">
        <v>1.0040955749434351E-3</v>
      </c>
      <c r="H498" s="986">
        <f t="shared" si="185"/>
        <v>100</v>
      </c>
      <c r="I498" s="986">
        <f t="shared" ref="I498:AF498" si="191">IF(I156=0,100,I156/H156*H498)</f>
        <v>100</v>
      </c>
      <c r="J498" s="986">
        <f t="shared" si="191"/>
        <v>100</v>
      </c>
      <c r="K498" s="986">
        <f t="shared" si="191"/>
        <v>100</v>
      </c>
      <c r="L498" s="986">
        <f t="shared" si="191"/>
        <v>100</v>
      </c>
      <c r="M498" s="986">
        <f t="shared" si="191"/>
        <v>100</v>
      </c>
      <c r="N498" s="986">
        <f t="shared" si="191"/>
        <v>100</v>
      </c>
      <c r="O498" s="986">
        <f t="shared" si="191"/>
        <v>100</v>
      </c>
      <c r="P498" s="986">
        <f t="shared" si="191"/>
        <v>100</v>
      </c>
      <c r="Q498" s="986">
        <f t="shared" si="191"/>
        <v>100</v>
      </c>
      <c r="R498" s="986">
        <f t="shared" si="191"/>
        <v>100</v>
      </c>
      <c r="S498" s="986">
        <f t="shared" si="191"/>
        <v>100</v>
      </c>
      <c r="T498" s="986">
        <f t="shared" si="191"/>
        <v>100</v>
      </c>
      <c r="U498" s="986">
        <f t="shared" si="191"/>
        <v>114.28571428571428</v>
      </c>
      <c r="V498" s="986">
        <f t="shared" si="191"/>
        <v>114.28571428571428</v>
      </c>
      <c r="W498" s="986">
        <f t="shared" si="191"/>
        <v>114.28571428571428</v>
      </c>
      <c r="X498" s="986">
        <f t="shared" si="191"/>
        <v>114.28571428571428</v>
      </c>
      <c r="Y498" s="986">
        <f t="shared" si="191"/>
        <v>114.28571428571428</v>
      </c>
      <c r="Z498" s="986">
        <f t="shared" si="191"/>
        <v>108.57142857142856</v>
      </c>
      <c r="AA498" s="986">
        <f t="shared" si="191"/>
        <v>108.57142857142856</v>
      </c>
      <c r="AB498" s="986">
        <f t="shared" si="191"/>
        <v>108.57142857142856</v>
      </c>
      <c r="AC498" s="986">
        <f t="shared" si="191"/>
        <v>102.85714285714283</v>
      </c>
      <c r="AD498" s="986">
        <f t="shared" si="191"/>
        <v>108.57142857142856</v>
      </c>
      <c r="AE498" s="986">
        <f t="shared" si="191"/>
        <v>110.47619047619044</v>
      </c>
      <c r="AF498" s="986">
        <f t="shared" si="191"/>
        <v>112.38095238095237</v>
      </c>
    </row>
    <row r="499" spans="1:32" s="1010" customFormat="1" outlineLevel="3">
      <c r="A499" s="999"/>
      <c r="B499" s="999"/>
      <c r="C499" s="1956" t="s">
        <v>1901</v>
      </c>
      <c r="D499" s="1956"/>
      <c r="E499" s="1956"/>
      <c r="F499" s="998">
        <f>SUM(F500)</f>
        <v>11114.4391</v>
      </c>
      <c r="G499" s="997">
        <v>2.2444035458408285E-3</v>
      </c>
      <c r="H499" s="996">
        <f t="shared" ref="H499:AF499" si="192">+SUMPRODUCT(H500,$G500)/$G499</f>
        <v>100</v>
      </c>
      <c r="I499" s="996">
        <f t="shared" si="192"/>
        <v>100</v>
      </c>
      <c r="J499" s="996">
        <f t="shared" si="192"/>
        <v>100</v>
      </c>
      <c r="K499" s="996">
        <f t="shared" si="192"/>
        <v>100</v>
      </c>
      <c r="L499" s="996">
        <f t="shared" si="192"/>
        <v>100</v>
      </c>
      <c r="M499" s="996">
        <f t="shared" si="192"/>
        <v>100</v>
      </c>
      <c r="N499" s="996">
        <f t="shared" si="192"/>
        <v>105.26315789473684</v>
      </c>
      <c r="O499" s="996">
        <f t="shared" si="192"/>
        <v>110.52631578947368</v>
      </c>
      <c r="P499" s="996">
        <f t="shared" si="192"/>
        <v>110.52631578947368</v>
      </c>
      <c r="Q499" s="996">
        <f t="shared" si="192"/>
        <v>110.52631578947368</v>
      </c>
      <c r="R499" s="996">
        <f t="shared" si="192"/>
        <v>110.52631578947368</v>
      </c>
      <c r="S499" s="996">
        <f t="shared" si="192"/>
        <v>110.52631578947368</v>
      </c>
      <c r="T499" s="996">
        <f t="shared" si="192"/>
        <v>110.52631578947368</v>
      </c>
      <c r="U499" s="996">
        <f t="shared" si="192"/>
        <v>110.52631578947368</v>
      </c>
      <c r="V499" s="996">
        <f t="shared" si="192"/>
        <v>118.42105263157896</v>
      </c>
      <c r="W499" s="996">
        <f t="shared" si="192"/>
        <v>118.42105263157896</v>
      </c>
      <c r="X499" s="996">
        <f t="shared" si="192"/>
        <v>118.42105263157896</v>
      </c>
      <c r="Y499" s="996">
        <f t="shared" si="192"/>
        <v>118.42105263157896</v>
      </c>
      <c r="Z499" s="996">
        <f t="shared" si="192"/>
        <v>131.57894736842107</v>
      </c>
      <c r="AA499" s="996">
        <f t="shared" si="192"/>
        <v>131.57894736842107</v>
      </c>
      <c r="AB499" s="996">
        <f t="shared" si="192"/>
        <v>131.57894736842107</v>
      </c>
      <c r="AC499" s="996">
        <f t="shared" si="192"/>
        <v>131.57894736842107</v>
      </c>
      <c r="AD499" s="996">
        <f t="shared" si="192"/>
        <v>134.21052631578948</v>
      </c>
      <c r="AE499" s="996">
        <f t="shared" si="192"/>
        <v>138.15789473684211</v>
      </c>
      <c r="AF499" s="996">
        <f t="shared" si="192"/>
        <v>138.15789473684211</v>
      </c>
    </row>
    <row r="500" spans="1:32" ht="38.25" outlineLevel="4">
      <c r="A500" s="999"/>
      <c r="B500" s="999"/>
      <c r="C500" s="999"/>
      <c r="D500" s="1015">
        <f>+D498+1</f>
        <v>115</v>
      </c>
      <c r="E500" s="1014" t="s">
        <v>1900</v>
      </c>
      <c r="F500" s="1038">
        <f>+'[11]7'!$P$350+10000</f>
        <v>11114.4391</v>
      </c>
      <c r="G500" s="987">
        <v>2.2444035458408285E-3</v>
      </c>
      <c r="H500" s="986">
        <f>IF(H158=0,100,H158/H158*100)</f>
        <v>100</v>
      </c>
      <c r="I500" s="986">
        <f t="shared" ref="I500:AF500" si="193">IF(I158=0,100,I158/H158*H500)</f>
        <v>100</v>
      </c>
      <c r="J500" s="986">
        <f t="shared" si="193"/>
        <v>100</v>
      </c>
      <c r="K500" s="986">
        <f t="shared" si="193"/>
        <v>100</v>
      </c>
      <c r="L500" s="986">
        <f t="shared" si="193"/>
        <v>100</v>
      </c>
      <c r="M500" s="986">
        <f t="shared" si="193"/>
        <v>100</v>
      </c>
      <c r="N500" s="986">
        <f t="shared" si="193"/>
        <v>105.26315789473684</v>
      </c>
      <c r="O500" s="986">
        <f t="shared" si="193"/>
        <v>110.52631578947368</v>
      </c>
      <c r="P500" s="986">
        <f t="shared" si="193"/>
        <v>110.52631578947368</v>
      </c>
      <c r="Q500" s="986">
        <f t="shared" si="193"/>
        <v>110.52631578947368</v>
      </c>
      <c r="R500" s="986">
        <f t="shared" si="193"/>
        <v>110.52631578947368</v>
      </c>
      <c r="S500" s="986">
        <f t="shared" si="193"/>
        <v>110.52631578947368</v>
      </c>
      <c r="T500" s="986">
        <f t="shared" si="193"/>
        <v>110.52631578947368</v>
      </c>
      <c r="U500" s="986">
        <f t="shared" si="193"/>
        <v>110.52631578947368</v>
      </c>
      <c r="V500" s="986">
        <f t="shared" si="193"/>
        <v>118.42105263157895</v>
      </c>
      <c r="W500" s="986">
        <f t="shared" si="193"/>
        <v>118.42105263157895</v>
      </c>
      <c r="X500" s="986">
        <f t="shared" si="193"/>
        <v>118.42105263157895</v>
      </c>
      <c r="Y500" s="986">
        <f t="shared" si="193"/>
        <v>118.42105263157895</v>
      </c>
      <c r="Z500" s="986">
        <f t="shared" si="193"/>
        <v>131.57894736842107</v>
      </c>
      <c r="AA500" s="986">
        <f t="shared" si="193"/>
        <v>131.57894736842107</v>
      </c>
      <c r="AB500" s="986">
        <f t="shared" si="193"/>
        <v>131.57894736842107</v>
      </c>
      <c r="AC500" s="986">
        <f t="shared" si="193"/>
        <v>131.57894736842107</v>
      </c>
      <c r="AD500" s="986">
        <f t="shared" si="193"/>
        <v>134.21052631578948</v>
      </c>
      <c r="AE500" s="986">
        <f t="shared" si="193"/>
        <v>138.15789473684211</v>
      </c>
      <c r="AF500" s="986">
        <f t="shared" si="193"/>
        <v>138.15789473684211</v>
      </c>
    </row>
    <row r="501" spans="1:32" ht="14.25" customHeight="1" outlineLevel="2">
      <c r="A501" s="999"/>
      <c r="B501" s="1955" t="s">
        <v>1899</v>
      </c>
      <c r="C501" s="1955"/>
      <c r="D501" s="1955"/>
      <c r="E501" s="1955"/>
      <c r="F501" s="1020">
        <f>+F502+F505+F508+F510</f>
        <v>58037.973660000003</v>
      </c>
      <c r="G501" s="1019">
        <v>1.1719946702116582E-2</v>
      </c>
      <c r="H501" s="1018">
        <f t="shared" ref="H501:AF501" si="194">+($G$502*H502+$G$505*H505+$G$508*H508+$G$510*H510)/$G$501</f>
        <v>100.00000000000001</v>
      </c>
      <c r="I501" s="1018">
        <f t="shared" si="194"/>
        <v>100.00000000000001</v>
      </c>
      <c r="J501" s="1018">
        <f t="shared" si="194"/>
        <v>100.00000000000001</v>
      </c>
      <c r="K501" s="1018">
        <f t="shared" si="194"/>
        <v>100.00000000000001</v>
      </c>
      <c r="L501" s="1018">
        <f t="shared" si="194"/>
        <v>100.00000000000001</v>
      </c>
      <c r="M501" s="1018">
        <f t="shared" si="194"/>
        <v>100.00000000000001</v>
      </c>
      <c r="N501" s="1018">
        <f t="shared" si="194"/>
        <v>100.00000000000001</v>
      </c>
      <c r="O501" s="1018">
        <f t="shared" si="194"/>
        <v>100.00000000000001</v>
      </c>
      <c r="P501" s="1018">
        <f t="shared" si="194"/>
        <v>100.00000000000001</v>
      </c>
      <c r="Q501" s="1018">
        <f t="shared" si="194"/>
        <v>100.00000000000001</v>
      </c>
      <c r="R501" s="1018">
        <f t="shared" si="194"/>
        <v>100.00000000000001</v>
      </c>
      <c r="S501" s="1018">
        <f t="shared" si="194"/>
        <v>100.00000000000001</v>
      </c>
      <c r="T501" s="1018">
        <f t="shared" si="194"/>
        <v>100.00000000000001</v>
      </c>
      <c r="U501" s="1018">
        <f t="shared" si="194"/>
        <v>101.7941363515292</v>
      </c>
      <c r="V501" s="1018">
        <f t="shared" si="194"/>
        <v>101.7941363515292</v>
      </c>
      <c r="W501" s="1018">
        <f t="shared" si="194"/>
        <v>101.7941363515292</v>
      </c>
      <c r="X501" s="1018">
        <f t="shared" si="194"/>
        <v>101.7941363515292</v>
      </c>
      <c r="Y501" s="1018">
        <f t="shared" si="194"/>
        <v>101.7941363515292</v>
      </c>
      <c r="Z501" s="1018">
        <f t="shared" si="194"/>
        <v>101.7941363515292</v>
      </c>
      <c r="AA501" s="1018">
        <f t="shared" si="194"/>
        <v>101.7941363515292</v>
      </c>
      <c r="AB501" s="1018">
        <f t="shared" si="194"/>
        <v>101.7941363515292</v>
      </c>
      <c r="AC501" s="1018">
        <f t="shared" si="194"/>
        <v>101.7941363515292</v>
      </c>
      <c r="AD501" s="1018">
        <f t="shared" si="194"/>
        <v>101.7941363515292</v>
      </c>
      <c r="AE501" s="1018">
        <f t="shared" si="194"/>
        <v>101.7941363515292</v>
      </c>
      <c r="AF501" s="1018">
        <f t="shared" si="194"/>
        <v>101.7941363515292</v>
      </c>
    </row>
    <row r="502" spans="1:32" s="1010" customFormat="1" ht="14.25" customHeight="1" outlineLevel="3">
      <c r="A502" s="999"/>
      <c r="B502" s="999"/>
      <c r="C502" s="1957" t="s">
        <v>1898</v>
      </c>
      <c r="D502" s="1957"/>
      <c r="E502" s="1957"/>
      <c r="F502" s="998">
        <f>SUM(F503:F504)</f>
        <v>19908.269540000001</v>
      </c>
      <c r="G502" s="997">
        <v>4.0201930430417282E-3</v>
      </c>
      <c r="H502" s="996">
        <f t="shared" ref="H502:AF502" si="195">+SUMPRODUCT(H503:H504,$G503:$G504)/$G502</f>
        <v>99.999999999999986</v>
      </c>
      <c r="I502" s="996">
        <f t="shared" si="195"/>
        <v>99.999999999999986</v>
      </c>
      <c r="J502" s="996">
        <f t="shared" si="195"/>
        <v>99.999999999999986</v>
      </c>
      <c r="K502" s="996">
        <f t="shared" si="195"/>
        <v>99.999999999999986</v>
      </c>
      <c r="L502" s="996">
        <f t="shared" si="195"/>
        <v>99.999999999999986</v>
      </c>
      <c r="M502" s="996">
        <f t="shared" si="195"/>
        <v>99.999999999999986</v>
      </c>
      <c r="N502" s="996">
        <f t="shared" si="195"/>
        <v>99.999999999999986</v>
      </c>
      <c r="O502" s="996">
        <f t="shared" si="195"/>
        <v>99.999999999999986</v>
      </c>
      <c r="P502" s="996">
        <f t="shared" si="195"/>
        <v>99.999999999999986</v>
      </c>
      <c r="Q502" s="996">
        <f t="shared" si="195"/>
        <v>99.999999999999986</v>
      </c>
      <c r="R502" s="996">
        <f t="shared" si="195"/>
        <v>99.999999999999986</v>
      </c>
      <c r="S502" s="996">
        <f t="shared" si="195"/>
        <v>99.999999999999986</v>
      </c>
      <c r="T502" s="996">
        <f t="shared" si="195"/>
        <v>99.999999999999986</v>
      </c>
      <c r="U502" s="996">
        <f t="shared" si="195"/>
        <v>99.999999999999986</v>
      </c>
      <c r="V502" s="996">
        <f t="shared" si="195"/>
        <v>99.999999999999986</v>
      </c>
      <c r="W502" s="996">
        <f t="shared" si="195"/>
        <v>99.999999999999986</v>
      </c>
      <c r="X502" s="996">
        <f t="shared" si="195"/>
        <v>99.999999999999986</v>
      </c>
      <c r="Y502" s="996">
        <f t="shared" si="195"/>
        <v>99.999999999999986</v>
      </c>
      <c r="Z502" s="996">
        <f t="shared" si="195"/>
        <v>99.999999999999986</v>
      </c>
      <c r="AA502" s="996">
        <f t="shared" si="195"/>
        <v>99.999999999999986</v>
      </c>
      <c r="AB502" s="996">
        <f t="shared" si="195"/>
        <v>99.999999999999986</v>
      </c>
      <c r="AC502" s="996">
        <f t="shared" si="195"/>
        <v>99.999999999999986</v>
      </c>
      <c r="AD502" s="996">
        <f t="shared" si="195"/>
        <v>99.999999999999986</v>
      </c>
      <c r="AE502" s="996">
        <f t="shared" si="195"/>
        <v>99.999999999999986</v>
      </c>
      <c r="AF502" s="996">
        <f t="shared" si="195"/>
        <v>99.999999999999986</v>
      </c>
    </row>
    <row r="503" spans="1:32" s="1010" customFormat="1" outlineLevel="4">
      <c r="A503" s="999"/>
      <c r="B503" s="999"/>
      <c r="C503" s="999"/>
      <c r="D503" s="1017">
        <f>+D500+1</f>
        <v>116</v>
      </c>
      <c r="E503" s="1037" t="s">
        <v>1897</v>
      </c>
      <c r="F503" s="988">
        <f>+'[11]7'!$P$340</f>
        <v>8046.4301400000004</v>
      </c>
      <c r="G503" s="987">
        <v>1.6248625931628447E-3</v>
      </c>
      <c r="H503" s="986">
        <f>IF(H161=0,100,H161/H161*100)</f>
        <v>100</v>
      </c>
      <c r="I503" s="986">
        <f t="shared" ref="I503:AF503" si="196">IF(I161=0,100,I161/H161*H503)</f>
        <v>100</v>
      </c>
      <c r="J503" s="986">
        <f t="shared" si="196"/>
        <v>100</v>
      </c>
      <c r="K503" s="986">
        <f t="shared" si="196"/>
        <v>100</v>
      </c>
      <c r="L503" s="986">
        <f t="shared" si="196"/>
        <v>100</v>
      </c>
      <c r="M503" s="986">
        <f t="shared" si="196"/>
        <v>100</v>
      </c>
      <c r="N503" s="986">
        <f t="shared" si="196"/>
        <v>100</v>
      </c>
      <c r="O503" s="986">
        <f t="shared" si="196"/>
        <v>100</v>
      </c>
      <c r="P503" s="986">
        <f t="shared" si="196"/>
        <v>100</v>
      </c>
      <c r="Q503" s="986">
        <f t="shared" si="196"/>
        <v>100</v>
      </c>
      <c r="R503" s="986">
        <f t="shared" si="196"/>
        <v>100</v>
      </c>
      <c r="S503" s="986">
        <f t="shared" si="196"/>
        <v>100</v>
      </c>
      <c r="T503" s="986">
        <f t="shared" si="196"/>
        <v>100</v>
      </c>
      <c r="U503" s="986">
        <f t="shared" si="196"/>
        <v>100</v>
      </c>
      <c r="V503" s="986">
        <f t="shared" si="196"/>
        <v>100</v>
      </c>
      <c r="W503" s="986">
        <f t="shared" si="196"/>
        <v>100</v>
      </c>
      <c r="X503" s="986">
        <f t="shared" si="196"/>
        <v>100</v>
      </c>
      <c r="Y503" s="986">
        <f t="shared" si="196"/>
        <v>100</v>
      </c>
      <c r="Z503" s="986">
        <f t="shared" si="196"/>
        <v>100</v>
      </c>
      <c r="AA503" s="986">
        <f t="shared" si="196"/>
        <v>100</v>
      </c>
      <c r="AB503" s="986">
        <f t="shared" si="196"/>
        <v>100</v>
      </c>
      <c r="AC503" s="986">
        <f t="shared" si="196"/>
        <v>100</v>
      </c>
      <c r="AD503" s="986">
        <f t="shared" si="196"/>
        <v>100</v>
      </c>
      <c r="AE503" s="986">
        <f t="shared" si="196"/>
        <v>100</v>
      </c>
      <c r="AF503" s="986">
        <f t="shared" si="196"/>
        <v>100</v>
      </c>
    </row>
    <row r="504" spans="1:32" outlineLevel="4">
      <c r="A504" s="999"/>
      <c r="B504" s="999"/>
      <c r="C504" s="999"/>
      <c r="D504" s="1017">
        <f>+D503+1</f>
        <v>117</v>
      </c>
      <c r="E504" s="1014" t="s">
        <v>1896</v>
      </c>
      <c r="F504" s="988">
        <f>+'[11]7'!$P$349</f>
        <v>11861.839400000001</v>
      </c>
      <c r="G504" s="987">
        <v>2.395330449878883E-3</v>
      </c>
      <c r="H504" s="986">
        <f>IF(H162=0,100,H162/H162*100)</f>
        <v>100</v>
      </c>
      <c r="I504" s="986">
        <f t="shared" ref="I504:AF504" si="197">IF(I162=0,100,I162/H162*H504)</f>
        <v>100</v>
      </c>
      <c r="J504" s="986">
        <f t="shared" si="197"/>
        <v>100</v>
      </c>
      <c r="K504" s="986">
        <f t="shared" si="197"/>
        <v>100</v>
      </c>
      <c r="L504" s="986">
        <f t="shared" si="197"/>
        <v>100</v>
      </c>
      <c r="M504" s="986">
        <f t="shared" si="197"/>
        <v>100</v>
      </c>
      <c r="N504" s="986">
        <f t="shared" si="197"/>
        <v>100</v>
      </c>
      <c r="O504" s="986">
        <f t="shared" si="197"/>
        <v>100</v>
      </c>
      <c r="P504" s="986">
        <f t="shared" si="197"/>
        <v>100</v>
      </c>
      <c r="Q504" s="986">
        <f t="shared" si="197"/>
        <v>100</v>
      </c>
      <c r="R504" s="986">
        <f t="shared" si="197"/>
        <v>100</v>
      </c>
      <c r="S504" s="986">
        <f t="shared" si="197"/>
        <v>100</v>
      </c>
      <c r="T504" s="986">
        <f t="shared" si="197"/>
        <v>100</v>
      </c>
      <c r="U504" s="986">
        <f t="shared" si="197"/>
        <v>100</v>
      </c>
      <c r="V504" s="986">
        <f t="shared" si="197"/>
        <v>100</v>
      </c>
      <c r="W504" s="986">
        <f t="shared" si="197"/>
        <v>100</v>
      </c>
      <c r="X504" s="986">
        <f t="shared" si="197"/>
        <v>100</v>
      </c>
      <c r="Y504" s="986">
        <f t="shared" si="197"/>
        <v>100</v>
      </c>
      <c r="Z504" s="986">
        <f t="shared" si="197"/>
        <v>100</v>
      </c>
      <c r="AA504" s="986">
        <f t="shared" si="197"/>
        <v>100</v>
      </c>
      <c r="AB504" s="986">
        <f t="shared" si="197"/>
        <v>100</v>
      </c>
      <c r="AC504" s="986">
        <f t="shared" si="197"/>
        <v>100</v>
      </c>
      <c r="AD504" s="986">
        <f t="shared" si="197"/>
        <v>100</v>
      </c>
      <c r="AE504" s="986">
        <f t="shared" si="197"/>
        <v>100</v>
      </c>
      <c r="AF504" s="986">
        <f t="shared" si="197"/>
        <v>100</v>
      </c>
    </row>
    <row r="505" spans="1:32" s="1010" customFormat="1" outlineLevel="3">
      <c r="A505" s="999"/>
      <c r="B505" s="999"/>
      <c r="C505" s="1956" t="s">
        <v>1895</v>
      </c>
      <c r="D505" s="1956"/>
      <c r="E505" s="1956"/>
      <c r="F505" s="998">
        <f>SUM(F506:F507)</f>
        <v>7425.6512999999995</v>
      </c>
      <c r="G505" s="997">
        <v>1.4995050994429002E-3</v>
      </c>
      <c r="H505" s="996">
        <f t="shared" ref="H505:AF505" si="198">+SUMPRODUCT(H506:H507,$G506:$G507)/$G505</f>
        <v>100</v>
      </c>
      <c r="I505" s="996">
        <f t="shared" si="198"/>
        <v>100</v>
      </c>
      <c r="J505" s="996">
        <f t="shared" si="198"/>
        <v>100</v>
      </c>
      <c r="K505" s="996">
        <f t="shared" si="198"/>
        <v>100</v>
      </c>
      <c r="L505" s="996">
        <f t="shared" si="198"/>
        <v>100</v>
      </c>
      <c r="M505" s="996">
        <f t="shared" si="198"/>
        <v>100</v>
      </c>
      <c r="N505" s="996">
        <f t="shared" si="198"/>
        <v>100</v>
      </c>
      <c r="O505" s="996">
        <f t="shared" si="198"/>
        <v>100</v>
      </c>
      <c r="P505" s="996">
        <f t="shared" si="198"/>
        <v>100</v>
      </c>
      <c r="Q505" s="996">
        <f t="shared" si="198"/>
        <v>100</v>
      </c>
      <c r="R505" s="996">
        <f t="shared" si="198"/>
        <v>100</v>
      </c>
      <c r="S505" s="996">
        <f t="shared" si="198"/>
        <v>100</v>
      </c>
      <c r="T505" s="996">
        <f t="shared" si="198"/>
        <v>100</v>
      </c>
      <c r="U505" s="996">
        <f t="shared" si="198"/>
        <v>115</v>
      </c>
      <c r="V505" s="996">
        <f t="shared" si="198"/>
        <v>115</v>
      </c>
      <c r="W505" s="996">
        <f t="shared" si="198"/>
        <v>115</v>
      </c>
      <c r="X505" s="996">
        <f t="shared" si="198"/>
        <v>115</v>
      </c>
      <c r="Y505" s="996">
        <f t="shared" si="198"/>
        <v>115</v>
      </c>
      <c r="Z505" s="996">
        <f t="shared" si="198"/>
        <v>115</v>
      </c>
      <c r="AA505" s="996">
        <f t="shared" si="198"/>
        <v>115</v>
      </c>
      <c r="AB505" s="996">
        <f t="shared" si="198"/>
        <v>115</v>
      </c>
      <c r="AC505" s="996">
        <f t="shared" si="198"/>
        <v>115</v>
      </c>
      <c r="AD505" s="996">
        <f t="shared" si="198"/>
        <v>115</v>
      </c>
      <c r="AE505" s="996">
        <f t="shared" si="198"/>
        <v>115</v>
      </c>
      <c r="AF505" s="996">
        <f t="shared" si="198"/>
        <v>115</v>
      </c>
    </row>
    <row r="506" spans="1:32" s="1010" customFormat="1" outlineLevel="4">
      <c r="A506" s="999"/>
      <c r="B506" s="999"/>
      <c r="C506" s="999"/>
      <c r="D506" s="1017">
        <f>+D504+1</f>
        <v>118</v>
      </c>
      <c r="E506" s="1014" t="s">
        <v>1894</v>
      </c>
      <c r="F506" s="988">
        <f>+'[11]7'!$P$343*0.4</f>
        <v>2970.2605200000003</v>
      </c>
      <c r="G506" s="987">
        <v>5.9980203977716016E-4</v>
      </c>
      <c r="H506" s="986">
        <f>IF(H164=0,100,H164/H164*100)</f>
        <v>100</v>
      </c>
      <c r="I506" s="986">
        <f t="shared" ref="I506:AF506" si="199">IF(I164=0,100,I164/H164*H506)</f>
        <v>100</v>
      </c>
      <c r="J506" s="986">
        <f t="shared" si="199"/>
        <v>100</v>
      </c>
      <c r="K506" s="986">
        <f t="shared" si="199"/>
        <v>100</v>
      </c>
      <c r="L506" s="986">
        <f t="shared" si="199"/>
        <v>100</v>
      </c>
      <c r="M506" s="986">
        <f t="shared" si="199"/>
        <v>100</v>
      </c>
      <c r="N506" s="986">
        <f t="shared" si="199"/>
        <v>100</v>
      </c>
      <c r="O506" s="986">
        <f t="shared" si="199"/>
        <v>100</v>
      </c>
      <c r="P506" s="986">
        <f t="shared" si="199"/>
        <v>100</v>
      </c>
      <c r="Q506" s="986">
        <f t="shared" si="199"/>
        <v>100</v>
      </c>
      <c r="R506" s="986">
        <f t="shared" si="199"/>
        <v>100</v>
      </c>
      <c r="S506" s="986">
        <f t="shared" si="199"/>
        <v>100</v>
      </c>
      <c r="T506" s="986">
        <f t="shared" si="199"/>
        <v>100</v>
      </c>
      <c r="U506" s="986">
        <f t="shared" si="199"/>
        <v>100</v>
      </c>
      <c r="V506" s="986">
        <f t="shared" si="199"/>
        <v>100</v>
      </c>
      <c r="W506" s="986">
        <f t="shared" si="199"/>
        <v>100</v>
      </c>
      <c r="X506" s="986">
        <f t="shared" si="199"/>
        <v>100</v>
      </c>
      <c r="Y506" s="986">
        <f t="shared" si="199"/>
        <v>100</v>
      </c>
      <c r="Z506" s="986">
        <f t="shared" si="199"/>
        <v>100</v>
      </c>
      <c r="AA506" s="986">
        <f t="shared" si="199"/>
        <v>100</v>
      </c>
      <c r="AB506" s="986">
        <f t="shared" si="199"/>
        <v>100</v>
      </c>
      <c r="AC506" s="986">
        <f t="shared" si="199"/>
        <v>100</v>
      </c>
      <c r="AD506" s="986">
        <f t="shared" si="199"/>
        <v>100</v>
      </c>
      <c r="AE506" s="986">
        <f t="shared" si="199"/>
        <v>100</v>
      </c>
      <c r="AF506" s="986">
        <f t="shared" si="199"/>
        <v>100</v>
      </c>
    </row>
    <row r="507" spans="1:32" outlineLevel="4">
      <c r="A507" s="999"/>
      <c r="B507" s="999"/>
      <c r="C507" s="999"/>
      <c r="D507" s="1017">
        <f>+D506+1</f>
        <v>119</v>
      </c>
      <c r="E507" s="1014" t="s">
        <v>1893</v>
      </c>
      <c r="F507" s="988">
        <f>+'[11]7'!$P$343*0.6</f>
        <v>4455.3907799999997</v>
      </c>
      <c r="G507" s="987">
        <v>8.9970305966574008E-4</v>
      </c>
      <c r="H507" s="986">
        <f>IF(H165=0,100,H165/H165*100)</f>
        <v>100</v>
      </c>
      <c r="I507" s="986">
        <f t="shared" ref="I507:AF507" si="200">IF(I165=0,100,I165/H165*H507)</f>
        <v>100</v>
      </c>
      <c r="J507" s="986">
        <f t="shared" si="200"/>
        <v>100</v>
      </c>
      <c r="K507" s="986">
        <f t="shared" si="200"/>
        <v>100</v>
      </c>
      <c r="L507" s="986">
        <f t="shared" si="200"/>
        <v>100</v>
      </c>
      <c r="M507" s="986">
        <f t="shared" si="200"/>
        <v>100</v>
      </c>
      <c r="N507" s="986">
        <f t="shared" si="200"/>
        <v>100</v>
      </c>
      <c r="O507" s="986">
        <f t="shared" si="200"/>
        <v>100</v>
      </c>
      <c r="P507" s="986">
        <f t="shared" si="200"/>
        <v>100</v>
      </c>
      <c r="Q507" s="986">
        <f t="shared" si="200"/>
        <v>100</v>
      </c>
      <c r="R507" s="986">
        <f t="shared" si="200"/>
        <v>100</v>
      </c>
      <c r="S507" s="986">
        <f t="shared" si="200"/>
        <v>100</v>
      </c>
      <c r="T507" s="986">
        <f t="shared" si="200"/>
        <v>100</v>
      </c>
      <c r="U507" s="986">
        <f t="shared" si="200"/>
        <v>125</v>
      </c>
      <c r="V507" s="986">
        <f t="shared" si="200"/>
        <v>125</v>
      </c>
      <c r="W507" s="986">
        <f t="shared" si="200"/>
        <v>125</v>
      </c>
      <c r="X507" s="986">
        <f t="shared" si="200"/>
        <v>125</v>
      </c>
      <c r="Y507" s="986">
        <f t="shared" si="200"/>
        <v>125</v>
      </c>
      <c r="Z507" s="986">
        <f t="shared" si="200"/>
        <v>125</v>
      </c>
      <c r="AA507" s="986">
        <f t="shared" si="200"/>
        <v>125</v>
      </c>
      <c r="AB507" s="986">
        <f t="shared" si="200"/>
        <v>125</v>
      </c>
      <c r="AC507" s="986">
        <f t="shared" si="200"/>
        <v>125</v>
      </c>
      <c r="AD507" s="986">
        <f t="shared" si="200"/>
        <v>125</v>
      </c>
      <c r="AE507" s="986">
        <f t="shared" si="200"/>
        <v>125</v>
      </c>
      <c r="AF507" s="986">
        <f t="shared" si="200"/>
        <v>125</v>
      </c>
    </row>
    <row r="508" spans="1:32" s="1010" customFormat="1" outlineLevel="3">
      <c r="A508" s="999"/>
      <c r="B508" s="999"/>
      <c r="C508" s="1956" t="s">
        <v>1892</v>
      </c>
      <c r="D508" s="1956"/>
      <c r="E508" s="1956"/>
      <c r="F508" s="998">
        <f>SUM(F509)</f>
        <v>6940.0963299999994</v>
      </c>
      <c r="G508" s="997">
        <v>1.4014541508917818E-3</v>
      </c>
      <c r="H508" s="996">
        <f t="shared" ref="H508:AF508" si="201">+SUMPRODUCT(H509,$G509)/$G508</f>
        <v>100</v>
      </c>
      <c r="I508" s="996">
        <f t="shared" si="201"/>
        <v>100</v>
      </c>
      <c r="J508" s="996">
        <f t="shared" si="201"/>
        <v>100</v>
      </c>
      <c r="K508" s="996">
        <f t="shared" si="201"/>
        <v>100</v>
      </c>
      <c r="L508" s="996">
        <f t="shared" si="201"/>
        <v>100</v>
      </c>
      <c r="M508" s="996">
        <f t="shared" si="201"/>
        <v>100</v>
      </c>
      <c r="N508" s="996">
        <f t="shared" si="201"/>
        <v>100</v>
      </c>
      <c r="O508" s="996">
        <f t="shared" si="201"/>
        <v>100</v>
      </c>
      <c r="P508" s="996">
        <f t="shared" si="201"/>
        <v>100</v>
      </c>
      <c r="Q508" s="996">
        <f t="shared" si="201"/>
        <v>100</v>
      </c>
      <c r="R508" s="996">
        <f t="shared" si="201"/>
        <v>100</v>
      </c>
      <c r="S508" s="996">
        <f t="shared" si="201"/>
        <v>100</v>
      </c>
      <c r="T508" s="996">
        <f t="shared" si="201"/>
        <v>100</v>
      </c>
      <c r="U508" s="996">
        <f t="shared" si="201"/>
        <v>100</v>
      </c>
      <c r="V508" s="996">
        <f t="shared" si="201"/>
        <v>100</v>
      </c>
      <c r="W508" s="996">
        <f t="shared" si="201"/>
        <v>100</v>
      </c>
      <c r="X508" s="996">
        <f t="shared" si="201"/>
        <v>100</v>
      </c>
      <c r="Y508" s="996">
        <f t="shared" si="201"/>
        <v>100</v>
      </c>
      <c r="Z508" s="996">
        <f t="shared" si="201"/>
        <v>100</v>
      </c>
      <c r="AA508" s="996">
        <f t="shared" si="201"/>
        <v>100</v>
      </c>
      <c r="AB508" s="996">
        <f t="shared" si="201"/>
        <v>100</v>
      </c>
      <c r="AC508" s="996">
        <f t="shared" si="201"/>
        <v>100</v>
      </c>
      <c r="AD508" s="996">
        <f t="shared" si="201"/>
        <v>100</v>
      </c>
      <c r="AE508" s="996">
        <f t="shared" si="201"/>
        <v>100</v>
      </c>
      <c r="AF508" s="996">
        <f t="shared" si="201"/>
        <v>100</v>
      </c>
    </row>
    <row r="509" spans="1:32" outlineLevel="4">
      <c r="A509" s="999"/>
      <c r="B509" s="999"/>
      <c r="C509" s="999"/>
      <c r="D509" s="1015">
        <f>+D507+1</f>
        <v>120</v>
      </c>
      <c r="E509" s="1014" t="s">
        <v>1891</v>
      </c>
      <c r="F509" s="988">
        <f>+'[11]7'!$P$342</f>
        <v>6940.0963299999994</v>
      </c>
      <c r="G509" s="987">
        <v>1.4014541508917818E-3</v>
      </c>
      <c r="H509" s="986">
        <f>IF(H167=0,100,H167/H167*100)</f>
        <v>100</v>
      </c>
      <c r="I509" s="986">
        <f t="shared" ref="I509:AF509" si="202">IF(I167=0,100,I167/H167*H509)</f>
        <v>100</v>
      </c>
      <c r="J509" s="986">
        <f t="shared" si="202"/>
        <v>100</v>
      </c>
      <c r="K509" s="986">
        <f t="shared" si="202"/>
        <v>100</v>
      </c>
      <c r="L509" s="986">
        <f t="shared" si="202"/>
        <v>100</v>
      </c>
      <c r="M509" s="986">
        <f t="shared" si="202"/>
        <v>100</v>
      </c>
      <c r="N509" s="986">
        <f t="shared" si="202"/>
        <v>100</v>
      </c>
      <c r="O509" s="986">
        <f t="shared" si="202"/>
        <v>100</v>
      </c>
      <c r="P509" s="986">
        <f t="shared" si="202"/>
        <v>100</v>
      </c>
      <c r="Q509" s="986">
        <f t="shared" si="202"/>
        <v>100</v>
      </c>
      <c r="R509" s="986">
        <f t="shared" si="202"/>
        <v>100</v>
      </c>
      <c r="S509" s="986">
        <f t="shared" si="202"/>
        <v>100</v>
      </c>
      <c r="T509" s="986">
        <f t="shared" si="202"/>
        <v>100</v>
      </c>
      <c r="U509" s="986">
        <f t="shared" si="202"/>
        <v>100</v>
      </c>
      <c r="V509" s="986">
        <f t="shared" si="202"/>
        <v>100</v>
      </c>
      <c r="W509" s="986">
        <f t="shared" si="202"/>
        <v>100</v>
      </c>
      <c r="X509" s="986">
        <f t="shared" si="202"/>
        <v>100</v>
      </c>
      <c r="Y509" s="986">
        <f t="shared" si="202"/>
        <v>100</v>
      </c>
      <c r="Z509" s="986">
        <f t="shared" si="202"/>
        <v>100</v>
      </c>
      <c r="AA509" s="986">
        <f t="shared" si="202"/>
        <v>100</v>
      </c>
      <c r="AB509" s="986">
        <f t="shared" si="202"/>
        <v>100</v>
      </c>
      <c r="AC509" s="986">
        <f t="shared" si="202"/>
        <v>100</v>
      </c>
      <c r="AD509" s="986">
        <f t="shared" si="202"/>
        <v>100</v>
      </c>
      <c r="AE509" s="986">
        <f t="shared" si="202"/>
        <v>100</v>
      </c>
      <c r="AF509" s="986">
        <f t="shared" si="202"/>
        <v>100</v>
      </c>
    </row>
    <row r="510" spans="1:32" s="1010" customFormat="1" outlineLevel="3">
      <c r="A510" s="999"/>
      <c r="B510" s="999"/>
      <c r="C510" s="1956" t="s">
        <v>1890</v>
      </c>
      <c r="D510" s="1956"/>
      <c r="E510" s="1956"/>
      <c r="F510" s="998">
        <f>SUM(F511:F512)</f>
        <v>23763.95649</v>
      </c>
      <c r="G510" s="997">
        <v>4.7987944087401731E-3</v>
      </c>
      <c r="H510" s="996">
        <f t="shared" ref="H510:AF510" si="203">+SUMPRODUCT(H511:H512,$G511:$G512)/$G510</f>
        <v>100.00000000000001</v>
      </c>
      <c r="I510" s="996">
        <f t="shared" si="203"/>
        <v>100.00000000000001</v>
      </c>
      <c r="J510" s="996">
        <f t="shared" si="203"/>
        <v>100.00000000000001</v>
      </c>
      <c r="K510" s="996">
        <f t="shared" si="203"/>
        <v>100.00000000000001</v>
      </c>
      <c r="L510" s="996">
        <f t="shared" si="203"/>
        <v>100.00000000000001</v>
      </c>
      <c r="M510" s="996">
        <f t="shared" si="203"/>
        <v>100.00000000000001</v>
      </c>
      <c r="N510" s="996">
        <f t="shared" si="203"/>
        <v>100.00000000000001</v>
      </c>
      <c r="O510" s="996">
        <f t="shared" si="203"/>
        <v>100.00000000000001</v>
      </c>
      <c r="P510" s="996">
        <f t="shared" si="203"/>
        <v>100.00000000000001</v>
      </c>
      <c r="Q510" s="996">
        <f t="shared" si="203"/>
        <v>100.00000000000001</v>
      </c>
      <c r="R510" s="996">
        <f t="shared" si="203"/>
        <v>100.00000000000001</v>
      </c>
      <c r="S510" s="996">
        <f t="shared" si="203"/>
        <v>100.00000000000001</v>
      </c>
      <c r="T510" s="996">
        <f t="shared" si="203"/>
        <v>100.00000000000001</v>
      </c>
      <c r="U510" s="996">
        <f t="shared" si="203"/>
        <v>99.694632870138705</v>
      </c>
      <c r="V510" s="996">
        <f t="shared" si="203"/>
        <v>99.694632870138705</v>
      </c>
      <c r="W510" s="996">
        <f t="shared" si="203"/>
        <v>99.694632870138705</v>
      </c>
      <c r="X510" s="996">
        <f t="shared" si="203"/>
        <v>99.694632870138705</v>
      </c>
      <c r="Y510" s="996">
        <f t="shared" si="203"/>
        <v>99.694632870138705</v>
      </c>
      <c r="Z510" s="996">
        <f t="shared" si="203"/>
        <v>99.694632870138705</v>
      </c>
      <c r="AA510" s="996">
        <f t="shared" si="203"/>
        <v>99.694632870138705</v>
      </c>
      <c r="AB510" s="996">
        <f t="shared" si="203"/>
        <v>99.694632870138705</v>
      </c>
      <c r="AC510" s="996">
        <f t="shared" si="203"/>
        <v>99.694632870138705</v>
      </c>
      <c r="AD510" s="996">
        <f t="shared" si="203"/>
        <v>99.694632870138705</v>
      </c>
      <c r="AE510" s="996">
        <f t="shared" si="203"/>
        <v>99.694632870138705</v>
      </c>
      <c r="AF510" s="996">
        <f t="shared" si="203"/>
        <v>99.694632870138705</v>
      </c>
    </row>
    <row r="511" spans="1:32" s="1010" customFormat="1" outlineLevel="4">
      <c r="A511" s="999"/>
      <c r="B511" s="999"/>
      <c r="C511" s="999"/>
      <c r="D511" s="1017">
        <f>+D509+1</f>
        <v>121</v>
      </c>
      <c r="E511" s="1014" t="s">
        <v>1889</v>
      </c>
      <c r="F511" s="988">
        <f>+'[11]7'!$P$344+'[11]7'!$P$345+'[11]7'!$P$346+500</f>
        <v>1161.07699</v>
      </c>
      <c r="G511" s="987">
        <v>2.3446305206262691E-4</v>
      </c>
      <c r="H511" s="986">
        <f>IF(H169=0,100,H169/H169*100)</f>
        <v>100</v>
      </c>
      <c r="I511" s="986">
        <f t="shared" ref="I511:AF511" si="204">IF(I169=0,100,I169/H169*H511)</f>
        <v>100</v>
      </c>
      <c r="J511" s="986">
        <f t="shared" si="204"/>
        <v>100</v>
      </c>
      <c r="K511" s="986">
        <f t="shared" si="204"/>
        <v>100</v>
      </c>
      <c r="L511" s="986">
        <f t="shared" si="204"/>
        <v>100</v>
      </c>
      <c r="M511" s="986">
        <f t="shared" si="204"/>
        <v>100</v>
      </c>
      <c r="N511" s="986">
        <f t="shared" si="204"/>
        <v>100</v>
      </c>
      <c r="O511" s="986">
        <f t="shared" si="204"/>
        <v>100</v>
      </c>
      <c r="P511" s="986">
        <f t="shared" si="204"/>
        <v>100</v>
      </c>
      <c r="Q511" s="986">
        <f t="shared" si="204"/>
        <v>100</v>
      </c>
      <c r="R511" s="986">
        <f t="shared" si="204"/>
        <v>100</v>
      </c>
      <c r="S511" s="986">
        <f t="shared" si="204"/>
        <v>100</v>
      </c>
      <c r="T511" s="986">
        <f t="shared" si="204"/>
        <v>100</v>
      </c>
      <c r="U511" s="986">
        <f t="shared" si="204"/>
        <v>93.75</v>
      </c>
      <c r="V511" s="986">
        <f t="shared" si="204"/>
        <v>93.75</v>
      </c>
      <c r="W511" s="986">
        <f t="shared" si="204"/>
        <v>93.75</v>
      </c>
      <c r="X511" s="986">
        <f t="shared" si="204"/>
        <v>93.75</v>
      </c>
      <c r="Y511" s="986">
        <f t="shared" si="204"/>
        <v>93.75</v>
      </c>
      <c r="Z511" s="986">
        <f t="shared" si="204"/>
        <v>93.75</v>
      </c>
      <c r="AA511" s="986">
        <f t="shared" si="204"/>
        <v>93.75</v>
      </c>
      <c r="AB511" s="986">
        <f t="shared" si="204"/>
        <v>93.75</v>
      </c>
      <c r="AC511" s="986">
        <f t="shared" si="204"/>
        <v>93.75</v>
      </c>
      <c r="AD511" s="986">
        <f t="shared" si="204"/>
        <v>93.75</v>
      </c>
      <c r="AE511" s="986">
        <f t="shared" si="204"/>
        <v>93.75</v>
      </c>
      <c r="AF511" s="986">
        <f t="shared" si="204"/>
        <v>93.75</v>
      </c>
    </row>
    <row r="512" spans="1:32" outlineLevel="4">
      <c r="A512" s="999"/>
      <c r="B512" s="999"/>
      <c r="C512" s="999"/>
      <c r="D512" s="1017">
        <f>+D511+1</f>
        <v>122</v>
      </c>
      <c r="E512" s="1014" t="s">
        <v>1888</v>
      </c>
      <c r="F512" s="988">
        <f>+'[11]7'!$P$339-500</f>
        <v>22602.879499999999</v>
      </c>
      <c r="G512" s="987">
        <v>4.5643313566775465E-3</v>
      </c>
      <c r="H512" s="986">
        <f>IF(H170=0,100,H170/H170*100)</f>
        <v>100</v>
      </c>
      <c r="I512" s="986">
        <f t="shared" ref="I512:AF512" si="205">IF(I170=0,100,I170/H170*H512)</f>
        <v>100</v>
      </c>
      <c r="J512" s="986">
        <f t="shared" si="205"/>
        <v>100</v>
      </c>
      <c r="K512" s="986">
        <f t="shared" si="205"/>
        <v>100</v>
      </c>
      <c r="L512" s="986">
        <f t="shared" si="205"/>
        <v>100</v>
      </c>
      <c r="M512" s="986">
        <f t="shared" si="205"/>
        <v>100</v>
      </c>
      <c r="N512" s="986">
        <f t="shared" si="205"/>
        <v>100</v>
      </c>
      <c r="O512" s="986">
        <f t="shared" si="205"/>
        <v>100</v>
      </c>
      <c r="P512" s="986">
        <f t="shared" si="205"/>
        <v>100</v>
      </c>
      <c r="Q512" s="986">
        <f t="shared" si="205"/>
        <v>100</v>
      </c>
      <c r="R512" s="986">
        <f t="shared" si="205"/>
        <v>100</v>
      </c>
      <c r="S512" s="986">
        <f t="shared" si="205"/>
        <v>100</v>
      </c>
      <c r="T512" s="986">
        <f t="shared" si="205"/>
        <v>100</v>
      </c>
      <c r="U512" s="986">
        <f t="shared" si="205"/>
        <v>100</v>
      </c>
      <c r="V512" s="986">
        <f t="shared" si="205"/>
        <v>100</v>
      </c>
      <c r="W512" s="986">
        <f t="shared" si="205"/>
        <v>100</v>
      </c>
      <c r="X512" s="986">
        <f t="shared" si="205"/>
        <v>100</v>
      </c>
      <c r="Y512" s="986">
        <f t="shared" si="205"/>
        <v>100</v>
      </c>
      <c r="Z512" s="986">
        <f t="shared" si="205"/>
        <v>100</v>
      </c>
      <c r="AA512" s="986">
        <f t="shared" si="205"/>
        <v>100</v>
      </c>
      <c r="AB512" s="986">
        <f t="shared" si="205"/>
        <v>100</v>
      </c>
      <c r="AC512" s="986">
        <f t="shared" si="205"/>
        <v>100</v>
      </c>
      <c r="AD512" s="986">
        <f t="shared" si="205"/>
        <v>100</v>
      </c>
      <c r="AE512" s="986">
        <f t="shared" si="205"/>
        <v>100</v>
      </c>
      <c r="AF512" s="986">
        <f t="shared" si="205"/>
        <v>100</v>
      </c>
    </row>
    <row r="513" spans="1:32" ht="14.25" customHeight="1" outlineLevel="2">
      <c r="A513" s="999"/>
      <c r="B513" s="1955" t="s">
        <v>1887</v>
      </c>
      <c r="C513" s="1955"/>
      <c r="D513" s="1955"/>
      <c r="E513" s="1955"/>
      <c r="F513" s="1020">
        <f>+F514+F517+F520</f>
        <v>281835.91442000004</v>
      </c>
      <c r="G513" s="1019">
        <v>5.691277085404519E-2</v>
      </c>
      <c r="H513" s="1018">
        <f t="shared" ref="H513:AF513" si="206">+($G$514*H514+$G$517*H517+$G$520*H520)/$G$513</f>
        <v>100</v>
      </c>
      <c r="I513" s="1018">
        <f t="shared" si="206"/>
        <v>100</v>
      </c>
      <c r="J513" s="1018">
        <f t="shared" si="206"/>
        <v>100</v>
      </c>
      <c r="K513" s="1018">
        <f t="shared" si="206"/>
        <v>100</v>
      </c>
      <c r="L513" s="1018">
        <f t="shared" si="206"/>
        <v>100</v>
      </c>
      <c r="M513" s="1018">
        <f t="shared" si="206"/>
        <v>97.820843252587821</v>
      </c>
      <c r="N513" s="1018">
        <f t="shared" si="206"/>
        <v>97.820843252587821</v>
      </c>
      <c r="O513" s="1018">
        <f t="shared" si="206"/>
        <v>96.368072087646354</v>
      </c>
      <c r="P513" s="1018">
        <f t="shared" si="206"/>
        <v>96.368072087646354</v>
      </c>
      <c r="Q513" s="1018">
        <f t="shared" si="206"/>
        <v>100.00000000000003</v>
      </c>
      <c r="R513" s="1018">
        <f t="shared" si="206"/>
        <v>107.26385582470733</v>
      </c>
      <c r="S513" s="1018">
        <f t="shared" si="206"/>
        <v>107.26385582470733</v>
      </c>
      <c r="T513" s="1018">
        <f t="shared" si="206"/>
        <v>110.89578373706098</v>
      </c>
      <c r="U513" s="1018">
        <f t="shared" si="206"/>
        <v>110.89578373706098</v>
      </c>
      <c r="V513" s="1018">
        <f t="shared" si="206"/>
        <v>118.94028259006033</v>
      </c>
      <c r="W513" s="1018">
        <f t="shared" si="206"/>
        <v>111.37580121204608</v>
      </c>
      <c r="X513" s="1018">
        <f t="shared" si="206"/>
        <v>111.69581286203615</v>
      </c>
      <c r="Y513" s="1018">
        <f t="shared" si="206"/>
        <v>111.69581286203615</v>
      </c>
      <c r="Z513" s="1018">
        <f t="shared" si="206"/>
        <v>111.69581286203615</v>
      </c>
      <c r="AA513" s="1018">
        <f t="shared" si="206"/>
        <v>111.69581286203615</v>
      </c>
      <c r="AB513" s="1018">
        <f t="shared" si="206"/>
        <v>111.69581286203615</v>
      </c>
      <c r="AC513" s="1018">
        <f t="shared" si="206"/>
        <v>116.78051193933125</v>
      </c>
      <c r="AD513" s="1018">
        <f t="shared" si="206"/>
        <v>123.87536051881922</v>
      </c>
      <c r="AE513" s="1018">
        <f t="shared" si="206"/>
        <v>131.74046745014047</v>
      </c>
      <c r="AF513" s="1018">
        <f t="shared" si="206"/>
        <v>131.74046745014047</v>
      </c>
    </row>
    <row r="514" spans="1:32" s="1010" customFormat="1" ht="14.25" customHeight="1" outlineLevel="3">
      <c r="A514" s="999"/>
      <c r="B514" s="999"/>
      <c r="C514" s="1957" t="s">
        <v>1886</v>
      </c>
      <c r="D514" s="1957"/>
      <c r="E514" s="1957"/>
      <c r="F514" s="998">
        <f>SUM(F515:F516)</f>
        <v>92585.585320000013</v>
      </c>
      <c r="G514" s="997">
        <v>1.8696347527421026E-2</v>
      </c>
      <c r="H514" s="996">
        <f t="shared" ref="H514:AF514" si="207">+SUMPRODUCT(H515:H516,$G515:$G516)/$G514</f>
        <v>100</v>
      </c>
      <c r="I514" s="996">
        <f t="shared" si="207"/>
        <v>100</v>
      </c>
      <c r="J514" s="996">
        <f t="shared" si="207"/>
        <v>100</v>
      </c>
      <c r="K514" s="996">
        <f t="shared" si="207"/>
        <v>100</v>
      </c>
      <c r="L514" s="996">
        <f t="shared" si="207"/>
        <v>100</v>
      </c>
      <c r="M514" s="996">
        <f t="shared" si="207"/>
        <v>100</v>
      </c>
      <c r="N514" s="996">
        <f t="shared" si="207"/>
        <v>100</v>
      </c>
      <c r="O514" s="996">
        <f t="shared" si="207"/>
        <v>100</v>
      </c>
      <c r="P514" s="996">
        <f t="shared" si="207"/>
        <v>100</v>
      </c>
      <c r="Q514" s="996">
        <f t="shared" si="207"/>
        <v>100</v>
      </c>
      <c r="R514" s="996">
        <f t="shared" si="207"/>
        <v>100</v>
      </c>
      <c r="S514" s="996">
        <f t="shared" si="207"/>
        <v>100</v>
      </c>
      <c r="T514" s="996">
        <f t="shared" si="207"/>
        <v>100</v>
      </c>
      <c r="U514" s="996">
        <f t="shared" si="207"/>
        <v>100</v>
      </c>
      <c r="V514" s="996">
        <f t="shared" si="207"/>
        <v>100</v>
      </c>
      <c r="W514" s="996">
        <f t="shared" si="207"/>
        <v>100</v>
      </c>
      <c r="X514" s="996">
        <f t="shared" si="207"/>
        <v>100</v>
      </c>
      <c r="Y514" s="996">
        <f t="shared" si="207"/>
        <v>100</v>
      </c>
      <c r="Z514" s="996">
        <f t="shared" si="207"/>
        <v>100</v>
      </c>
      <c r="AA514" s="996">
        <f t="shared" si="207"/>
        <v>100</v>
      </c>
      <c r="AB514" s="996">
        <f t="shared" si="207"/>
        <v>100</v>
      </c>
      <c r="AC514" s="996">
        <f t="shared" si="207"/>
        <v>100</v>
      </c>
      <c r="AD514" s="996">
        <f t="shared" si="207"/>
        <v>100</v>
      </c>
      <c r="AE514" s="996">
        <f t="shared" si="207"/>
        <v>100</v>
      </c>
      <c r="AF514" s="996">
        <f t="shared" si="207"/>
        <v>100</v>
      </c>
    </row>
    <row r="515" spans="1:32" s="1010" customFormat="1" outlineLevel="4">
      <c r="A515" s="999"/>
      <c r="B515" s="999"/>
      <c r="C515" s="999"/>
      <c r="D515" s="1036">
        <f>+D512+1</f>
        <v>123</v>
      </c>
      <c r="E515" s="1014" t="s">
        <v>1885</v>
      </c>
      <c r="F515" s="988">
        <f>+'[11]7'!$P$352*0.4+'[11]7'!$P$356+'[11]7'!$P$357</f>
        <v>37148.986720000001</v>
      </c>
      <c r="G515" s="987">
        <v>7.5017116715104274E-3</v>
      </c>
      <c r="H515" s="986">
        <f>IF(H173=0,100,H173/H173*100)</f>
        <v>100</v>
      </c>
      <c r="I515" s="986">
        <f t="shared" ref="I515:AF515" si="208">IF(I173=0,100,I173/H173*H515)</f>
        <v>100</v>
      </c>
      <c r="J515" s="986">
        <f t="shared" si="208"/>
        <v>100</v>
      </c>
      <c r="K515" s="986">
        <f t="shared" si="208"/>
        <v>100</v>
      </c>
      <c r="L515" s="986">
        <f t="shared" si="208"/>
        <v>100</v>
      </c>
      <c r="M515" s="986">
        <f t="shared" si="208"/>
        <v>100</v>
      </c>
      <c r="N515" s="986">
        <f t="shared" si="208"/>
        <v>100</v>
      </c>
      <c r="O515" s="986">
        <f t="shared" si="208"/>
        <v>100</v>
      </c>
      <c r="P515" s="986">
        <f t="shared" si="208"/>
        <v>100</v>
      </c>
      <c r="Q515" s="986">
        <f t="shared" si="208"/>
        <v>100</v>
      </c>
      <c r="R515" s="986">
        <f t="shared" si="208"/>
        <v>100</v>
      </c>
      <c r="S515" s="986">
        <f t="shared" si="208"/>
        <v>100</v>
      </c>
      <c r="T515" s="986">
        <f t="shared" si="208"/>
        <v>100</v>
      </c>
      <c r="U515" s="986">
        <f t="shared" si="208"/>
        <v>100</v>
      </c>
      <c r="V515" s="986">
        <f t="shared" si="208"/>
        <v>100</v>
      </c>
      <c r="W515" s="986">
        <f t="shared" si="208"/>
        <v>100</v>
      </c>
      <c r="X515" s="986">
        <f t="shared" si="208"/>
        <v>100</v>
      </c>
      <c r="Y515" s="986">
        <f t="shared" si="208"/>
        <v>100</v>
      </c>
      <c r="Z515" s="986">
        <f t="shared" si="208"/>
        <v>100</v>
      </c>
      <c r="AA515" s="986">
        <f t="shared" si="208"/>
        <v>100</v>
      </c>
      <c r="AB515" s="986">
        <f t="shared" si="208"/>
        <v>100</v>
      </c>
      <c r="AC515" s="986">
        <f t="shared" si="208"/>
        <v>100</v>
      </c>
      <c r="AD515" s="986">
        <f t="shared" si="208"/>
        <v>100</v>
      </c>
      <c r="AE515" s="986">
        <f t="shared" si="208"/>
        <v>100</v>
      </c>
      <c r="AF515" s="986">
        <f t="shared" si="208"/>
        <v>100</v>
      </c>
    </row>
    <row r="516" spans="1:32" outlineLevel="4">
      <c r="A516" s="999"/>
      <c r="B516" s="999"/>
      <c r="C516" s="999"/>
      <c r="D516" s="1036">
        <f>+D515+1</f>
        <v>124</v>
      </c>
      <c r="E516" s="1014" t="s">
        <v>1884</v>
      </c>
      <c r="F516" s="988">
        <f>+'[11]7'!$P$352*0.6</f>
        <v>55436.598600000005</v>
      </c>
      <c r="G516" s="987">
        <v>1.1194635855910599E-2</v>
      </c>
      <c r="H516" s="986">
        <f>IF(H174=0,100,H174/H174*100)</f>
        <v>100</v>
      </c>
      <c r="I516" s="986">
        <f t="shared" ref="I516:AF516" si="209">IF(I174=0,100,I174/H174*H516)</f>
        <v>100</v>
      </c>
      <c r="J516" s="986">
        <f t="shared" si="209"/>
        <v>100</v>
      </c>
      <c r="K516" s="986">
        <f t="shared" si="209"/>
        <v>100</v>
      </c>
      <c r="L516" s="986">
        <f t="shared" si="209"/>
        <v>100</v>
      </c>
      <c r="M516" s="986">
        <f t="shared" si="209"/>
        <v>100</v>
      </c>
      <c r="N516" s="986">
        <f t="shared" si="209"/>
        <v>100</v>
      </c>
      <c r="O516" s="986">
        <f t="shared" si="209"/>
        <v>100</v>
      </c>
      <c r="P516" s="986">
        <f t="shared" si="209"/>
        <v>100</v>
      </c>
      <c r="Q516" s="986">
        <f t="shared" si="209"/>
        <v>100</v>
      </c>
      <c r="R516" s="986">
        <f t="shared" si="209"/>
        <v>100</v>
      </c>
      <c r="S516" s="986">
        <f t="shared" si="209"/>
        <v>100</v>
      </c>
      <c r="T516" s="986">
        <f t="shared" si="209"/>
        <v>100</v>
      </c>
      <c r="U516" s="986">
        <f t="shared" si="209"/>
        <v>100</v>
      </c>
      <c r="V516" s="986">
        <f t="shared" si="209"/>
        <v>100</v>
      </c>
      <c r="W516" s="986">
        <f t="shared" si="209"/>
        <v>100</v>
      </c>
      <c r="X516" s="986">
        <f t="shared" si="209"/>
        <v>100</v>
      </c>
      <c r="Y516" s="986">
        <f t="shared" si="209"/>
        <v>100</v>
      </c>
      <c r="Z516" s="986">
        <f t="shared" si="209"/>
        <v>100</v>
      </c>
      <c r="AA516" s="986">
        <f t="shared" si="209"/>
        <v>100</v>
      </c>
      <c r="AB516" s="986">
        <f t="shared" si="209"/>
        <v>100</v>
      </c>
      <c r="AC516" s="986">
        <f t="shared" si="209"/>
        <v>100</v>
      </c>
      <c r="AD516" s="986">
        <f t="shared" si="209"/>
        <v>100</v>
      </c>
      <c r="AE516" s="986">
        <f t="shared" si="209"/>
        <v>100</v>
      </c>
      <c r="AF516" s="986">
        <f t="shared" si="209"/>
        <v>100</v>
      </c>
    </row>
    <row r="517" spans="1:32" s="1010" customFormat="1" outlineLevel="3">
      <c r="A517" s="999"/>
      <c r="B517" s="999"/>
      <c r="C517" s="1956" t="s">
        <v>1883</v>
      </c>
      <c r="D517" s="1956"/>
      <c r="E517" s="1956"/>
      <c r="F517" s="998">
        <f>SUM(F518:F519)</f>
        <v>182486.0209</v>
      </c>
      <c r="G517" s="997">
        <v>3.6850467098636E-2</v>
      </c>
      <c r="H517" s="996">
        <f t="shared" ref="H517:AF517" si="210">+SUMPRODUCT(H518:H519,$G518:$G519)/$G517</f>
        <v>100</v>
      </c>
      <c r="I517" s="996">
        <f t="shared" si="210"/>
        <v>100</v>
      </c>
      <c r="J517" s="996">
        <f t="shared" si="210"/>
        <v>100</v>
      </c>
      <c r="K517" s="996">
        <f t="shared" si="210"/>
        <v>100</v>
      </c>
      <c r="L517" s="996">
        <f t="shared" si="210"/>
        <v>100</v>
      </c>
      <c r="M517" s="996">
        <f t="shared" si="210"/>
        <v>96.634456537862803</v>
      </c>
      <c r="N517" s="996">
        <f t="shared" si="210"/>
        <v>96.634456537862803</v>
      </c>
      <c r="O517" s="996">
        <f t="shared" si="210"/>
        <v>94.390760896437996</v>
      </c>
      <c r="P517" s="996">
        <f t="shared" si="210"/>
        <v>94.390760896437996</v>
      </c>
      <c r="Q517" s="996">
        <f t="shared" si="210"/>
        <v>100.00000000000001</v>
      </c>
      <c r="R517" s="996">
        <f t="shared" si="210"/>
        <v>111.21847820712405</v>
      </c>
      <c r="S517" s="996">
        <f t="shared" si="210"/>
        <v>111.21847820712405</v>
      </c>
      <c r="T517" s="996">
        <f t="shared" si="210"/>
        <v>116.82771731068607</v>
      </c>
      <c r="U517" s="996">
        <f t="shared" si="210"/>
        <v>116.82771731068607</v>
      </c>
      <c r="V517" s="996">
        <f t="shared" si="210"/>
        <v>128.51048904175468</v>
      </c>
      <c r="W517" s="996">
        <f t="shared" si="210"/>
        <v>116.82771731068608</v>
      </c>
      <c r="X517" s="996">
        <f t="shared" si="210"/>
        <v>116.82771731068608</v>
      </c>
      <c r="Y517" s="996">
        <f t="shared" si="210"/>
        <v>116.82771731068608</v>
      </c>
      <c r="Z517" s="996">
        <f t="shared" si="210"/>
        <v>116.82771731068608</v>
      </c>
      <c r="AA517" s="996">
        <f t="shared" si="210"/>
        <v>116.82771731068608</v>
      </c>
      <c r="AB517" s="996">
        <f t="shared" si="210"/>
        <v>116.82771731068608</v>
      </c>
      <c r="AC517" s="996">
        <f t="shared" si="210"/>
        <v>124.68065205567288</v>
      </c>
      <c r="AD517" s="996">
        <f t="shared" si="210"/>
        <v>135.63811130219332</v>
      </c>
      <c r="AE517" s="996">
        <f t="shared" si="210"/>
        <v>147.78517655720651</v>
      </c>
      <c r="AF517" s="996">
        <f t="shared" si="210"/>
        <v>147.78517655720651</v>
      </c>
    </row>
    <row r="518" spans="1:32" s="1010" customFormat="1" outlineLevel="4">
      <c r="A518" s="999"/>
      <c r="B518" s="999"/>
      <c r="C518" s="999"/>
      <c r="D518" s="1015">
        <f>+D516+1</f>
        <v>125</v>
      </c>
      <c r="E518" s="1014" t="s">
        <v>1882</v>
      </c>
      <c r="F518" s="988">
        <f>+'[11]7'!$P$353+'[11]7'!$P$354</f>
        <v>71652.540699999998</v>
      </c>
      <c r="G518" s="987">
        <v>1.4469215672393605E-2</v>
      </c>
      <c r="H518" s="986">
        <f>IF(H176=0,100,H176/H176*100)</f>
        <v>100</v>
      </c>
      <c r="I518" s="986">
        <f t="shared" ref="I518:AF518" si="211">IF(I176=0,100,I176/H176*H518)</f>
        <v>100</v>
      </c>
      <c r="J518" s="986">
        <f t="shared" si="211"/>
        <v>100</v>
      </c>
      <c r="K518" s="986">
        <f t="shared" si="211"/>
        <v>100</v>
      </c>
      <c r="L518" s="986">
        <f t="shared" si="211"/>
        <v>100</v>
      </c>
      <c r="M518" s="986">
        <f t="shared" si="211"/>
        <v>91.428571428571431</v>
      </c>
      <c r="N518" s="986">
        <f t="shared" si="211"/>
        <v>91.428571428571431</v>
      </c>
      <c r="O518" s="986">
        <f t="shared" si="211"/>
        <v>85.714285714285722</v>
      </c>
      <c r="P518" s="986">
        <f t="shared" si="211"/>
        <v>85.714285714285722</v>
      </c>
      <c r="Q518" s="986">
        <f t="shared" si="211"/>
        <v>100.00000000000001</v>
      </c>
      <c r="R518" s="986">
        <f t="shared" si="211"/>
        <v>128.57142857142861</v>
      </c>
      <c r="S518" s="986">
        <f t="shared" si="211"/>
        <v>128.57142857142861</v>
      </c>
      <c r="T518" s="986">
        <f t="shared" si="211"/>
        <v>142.85714285714292</v>
      </c>
      <c r="U518" s="986">
        <f t="shared" si="211"/>
        <v>142.85714285714292</v>
      </c>
      <c r="V518" s="986">
        <f t="shared" si="211"/>
        <v>157.14285714285722</v>
      </c>
      <c r="W518" s="986">
        <f t="shared" si="211"/>
        <v>142.85714285714292</v>
      </c>
      <c r="X518" s="986">
        <f t="shared" si="211"/>
        <v>142.85714285714292</v>
      </c>
      <c r="Y518" s="986">
        <f t="shared" si="211"/>
        <v>142.85714285714292</v>
      </c>
      <c r="Z518" s="986">
        <f t="shared" si="211"/>
        <v>142.85714285714292</v>
      </c>
      <c r="AA518" s="986">
        <f t="shared" si="211"/>
        <v>142.85714285714292</v>
      </c>
      <c r="AB518" s="986">
        <f t="shared" si="211"/>
        <v>142.85714285714292</v>
      </c>
      <c r="AC518" s="986">
        <f t="shared" si="211"/>
        <v>162.85714285714292</v>
      </c>
      <c r="AD518" s="986">
        <f t="shared" si="211"/>
        <v>171.42857142857147</v>
      </c>
      <c r="AE518" s="986">
        <f t="shared" si="211"/>
        <v>171.42857142857147</v>
      </c>
      <c r="AF518" s="986">
        <f t="shared" si="211"/>
        <v>171.42857142857147</v>
      </c>
    </row>
    <row r="519" spans="1:32" outlineLevel="4">
      <c r="A519" s="999"/>
      <c r="B519" s="999"/>
      <c r="C519" s="999"/>
      <c r="D519" s="1013">
        <f>+D518+1</f>
        <v>126</v>
      </c>
      <c r="E519" s="1014" t="s">
        <v>1881</v>
      </c>
      <c r="F519" s="988">
        <f>+'[11]7'!$P$355</f>
        <v>110833.48020000001</v>
      </c>
      <c r="G519" s="987">
        <v>2.2381251426242397E-2</v>
      </c>
      <c r="H519" s="986">
        <f>IF(H177=0,100,H177/H177*100)</f>
        <v>100</v>
      </c>
      <c r="I519" s="986">
        <f t="shared" ref="I519:AF519" si="212">IF(I177=0,100,I177/H177*H519)</f>
        <v>100</v>
      </c>
      <c r="J519" s="986">
        <f t="shared" si="212"/>
        <v>100</v>
      </c>
      <c r="K519" s="986">
        <f t="shared" si="212"/>
        <v>100</v>
      </c>
      <c r="L519" s="986">
        <f t="shared" si="212"/>
        <v>100</v>
      </c>
      <c r="M519" s="986">
        <f t="shared" si="212"/>
        <v>100</v>
      </c>
      <c r="N519" s="986">
        <f t="shared" si="212"/>
        <v>100</v>
      </c>
      <c r="O519" s="986">
        <f t="shared" si="212"/>
        <v>100</v>
      </c>
      <c r="P519" s="986">
        <f t="shared" si="212"/>
        <v>100</v>
      </c>
      <c r="Q519" s="986">
        <f t="shared" si="212"/>
        <v>100</v>
      </c>
      <c r="R519" s="986">
        <f t="shared" si="212"/>
        <v>100</v>
      </c>
      <c r="S519" s="986">
        <f t="shared" si="212"/>
        <v>100</v>
      </c>
      <c r="T519" s="986">
        <f t="shared" si="212"/>
        <v>100</v>
      </c>
      <c r="U519" s="986">
        <f t="shared" si="212"/>
        <v>100</v>
      </c>
      <c r="V519" s="986">
        <f t="shared" si="212"/>
        <v>110.00000000000001</v>
      </c>
      <c r="W519" s="986">
        <f t="shared" si="212"/>
        <v>100.00000000000001</v>
      </c>
      <c r="X519" s="986">
        <f t="shared" si="212"/>
        <v>100.00000000000001</v>
      </c>
      <c r="Y519" s="986">
        <f t="shared" si="212"/>
        <v>100.00000000000001</v>
      </c>
      <c r="Z519" s="986">
        <f t="shared" si="212"/>
        <v>100.00000000000001</v>
      </c>
      <c r="AA519" s="986">
        <f t="shared" si="212"/>
        <v>100.00000000000001</v>
      </c>
      <c r="AB519" s="986">
        <f t="shared" si="212"/>
        <v>100.00000000000001</v>
      </c>
      <c r="AC519" s="986">
        <f t="shared" si="212"/>
        <v>100.00000000000001</v>
      </c>
      <c r="AD519" s="986">
        <f t="shared" si="212"/>
        <v>112.50000000000001</v>
      </c>
      <c r="AE519" s="986">
        <f t="shared" si="212"/>
        <v>132.50000000000003</v>
      </c>
      <c r="AF519" s="986">
        <f t="shared" si="212"/>
        <v>132.50000000000003</v>
      </c>
    </row>
    <row r="520" spans="1:32" s="1010" customFormat="1" outlineLevel="3">
      <c r="A520" s="999"/>
      <c r="B520" s="999"/>
      <c r="C520" s="1956" t="s">
        <v>1880</v>
      </c>
      <c r="D520" s="1956"/>
      <c r="E520" s="1956"/>
      <c r="F520" s="998">
        <f>SUM(F521)</f>
        <v>6764.3082000000013</v>
      </c>
      <c r="G520" s="997">
        <v>1.3659562279881667E-3</v>
      </c>
      <c r="H520" s="996">
        <f t="shared" ref="H520:AF520" si="213">+SUMPRODUCT(H521,$G521)/$G520</f>
        <v>100</v>
      </c>
      <c r="I520" s="996">
        <f t="shared" si="213"/>
        <v>100</v>
      </c>
      <c r="J520" s="996">
        <f t="shared" si="213"/>
        <v>100</v>
      </c>
      <c r="K520" s="996">
        <f t="shared" si="213"/>
        <v>100</v>
      </c>
      <c r="L520" s="996">
        <f t="shared" si="213"/>
        <v>100</v>
      </c>
      <c r="M520" s="996">
        <f t="shared" si="213"/>
        <v>100</v>
      </c>
      <c r="N520" s="996">
        <f t="shared" si="213"/>
        <v>100</v>
      </c>
      <c r="O520" s="996">
        <f t="shared" si="213"/>
        <v>100</v>
      </c>
      <c r="P520" s="996">
        <f t="shared" si="213"/>
        <v>100</v>
      </c>
      <c r="Q520" s="996">
        <f t="shared" si="213"/>
        <v>100</v>
      </c>
      <c r="R520" s="996">
        <f t="shared" si="213"/>
        <v>100</v>
      </c>
      <c r="S520" s="996">
        <f t="shared" si="213"/>
        <v>100</v>
      </c>
      <c r="T520" s="996">
        <f t="shared" si="213"/>
        <v>100</v>
      </c>
      <c r="U520" s="996">
        <f t="shared" si="213"/>
        <v>100</v>
      </c>
      <c r="V520" s="996">
        <f t="shared" si="213"/>
        <v>119.99999999999999</v>
      </c>
      <c r="W520" s="996">
        <f t="shared" si="213"/>
        <v>119.99999999999999</v>
      </c>
      <c r="X520" s="996">
        <f t="shared" si="213"/>
        <v>133.33333333333334</v>
      </c>
      <c r="Y520" s="996">
        <f t="shared" si="213"/>
        <v>133.33333333333334</v>
      </c>
      <c r="Z520" s="996">
        <f t="shared" si="213"/>
        <v>133.33333333333334</v>
      </c>
      <c r="AA520" s="996">
        <f t="shared" si="213"/>
        <v>133.33333333333334</v>
      </c>
      <c r="AB520" s="996">
        <f t="shared" si="213"/>
        <v>133.33333333333334</v>
      </c>
      <c r="AC520" s="996">
        <f t="shared" si="213"/>
        <v>133.33333333333334</v>
      </c>
      <c r="AD520" s="996">
        <f t="shared" si="213"/>
        <v>133.33333333333334</v>
      </c>
      <c r="AE520" s="996">
        <f t="shared" si="213"/>
        <v>133.33333333333334</v>
      </c>
      <c r="AF520" s="996">
        <f t="shared" si="213"/>
        <v>133.33333333333334</v>
      </c>
    </row>
    <row r="521" spans="1:32" outlineLevel="4">
      <c r="A521" s="999"/>
      <c r="B521" s="999"/>
      <c r="C521" s="999"/>
      <c r="D521" s="1015">
        <f>+D519+1</f>
        <v>127</v>
      </c>
      <c r="E521" s="1014" t="s">
        <v>1879</v>
      </c>
      <c r="F521" s="988">
        <f>+'[11]7'!$P$341</f>
        <v>6764.3082000000013</v>
      </c>
      <c r="G521" s="987">
        <v>1.3659562279881667E-3</v>
      </c>
      <c r="H521" s="986">
        <f>IF(H179=0,100,H179/H179*100)</f>
        <v>100</v>
      </c>
      <c r="I521" s="986">
        <f t="shared" ref="I521:AF521" si="214">IF(I179=0,100,I179/H179*H521)</f>
        <v>100</v>
      </c>
      <c r="J521" s="986">
        <f t="shared" si="214"/>
        <v>100</v>
      </c>
      <c r="K521" s="986">
        <f t="shared" si="214"/>
        <v>100</v>
      </c>
      <c r="L521" s="986">
        <f t="shared" si="214"/>
        <v>100</v>
      </c>
      <c r="M521" s="986">
        <f t="shared" si="214"/>
        <v>100</v>
      </c>
      <c r="N521" s="986">
        <f t="shared" si="214"/>
        <v>100</v>
      </c>
      <c r="O521" s="986">
        <f t="shared" si="214"/>
        <v>100</v>
      </c>
      <c r="P521" s="986">
        <f t="shared" si="214"/>
        <v>100</v>
      </c>
      <c r="Q521" s="986">
        <f t="shared" si="214"/>
        <v>100</v>
      </c>
      <c r="R521" s="986">
        <f t="shared" si="214"/>
        <v>100</v>
      </c>
      <c r="S521" s="986">
        <f t="shared" si="214"/>
        <v>100</v>
      </c>
      <c r="T521" s="986">
        <f t="shared" si="214"/>
        <v>100</v>
      </c>
      <c r="U521" s="986">
        <f t="shared" si="214"/>
        <v>100</v>
      </c>
      <c r="V521" s="986">
        <f t="shared" si="214"/>
        <v>120</v>
      </c>
      <c r="W521" s="986">
        <f t="shared" si="214"/>
        <v>120</v>
      </c>
      <c r="X521" s="986">
        <f t="shared" si="214"/>
        <v>133.33333333333334</v>
      </c>
      <c r="Y521" s="986">
        <f t="shared" si="214"/>
        <v>133.33333333333334</v>
      </c>
      <c r="Z521" s="986">
        <f t="shared" si="214"/>
        <v>133.33333333333334</v>
      </c>
      <c r="AA521" s="986">
        <f t="shared" si="214"/>
        <v>133.33333333333334</v>
      </c>
      <c r="AB521" s="986">
        <f t="shared" si="214"/>
        <v>133.33333333333334</v>
      </c>
      <c r="AC521" s="986">
        <f t="shared" si="214"/>
        <v>133.33333333333334</v>
      </c>
      <c r="AD521" s="986">
        <f t="shared" si="214"/>
        <v>133.33333333333334</v>
      </c>
      <c r="AE521" s="986">
        <f t="shared" si="214"/>
        <v>133.33333333333334</v>
      </c>
      <c r="AF521" s="986">
        <f t="shared" si="214"/>
        <v>133.33333333333334</v>
      </c>
    </row>
    <row r="522" spans="1:32" ht="14.25" customHeight="1" outlineLevel="1">
      <c r="A522" s="1954" t="s">
        <v>1878</v>
      </c>
      <c r="B522" s="1954"/>
      <c r="C522" s="1954"/>
      <c r="D522" s="1954"/>
      <c r="E522" s="1954"/>
      <c r="F522" s="1023">
        <f>+F523+F532+F538+F544+F550+F555</f>
        <v>312021.21540500002</v>
      </c>
      <c r="G522" s="1022">
        <v>6.3008264828456076E-2</v>
      </c>
      <c r="H522" s="1021">
        <f t="shared" ref="H522:AF522" si="215">+($G$523*H523+$G$532*H532+$G$538*H538+$G$544*H544+$G$550*H550+$G$555*H555)/$G$522</f>
        <v>99.999999999999986</v>
      </c>
      <c r="I522" s="1021">
        <f t="shared" si="215"/>
        <v>101.05383770785744</v>
      </c>
      <c r="J522" s="1021">
        <f t="shared" si="215"/>
        <v>100.03991191310564</v>
      </c>
      <c r="K522" s="1021">
        <f t="shared" si="215"/>
        <v>100.52444573447696</v>
      </c>
      <c r="L522" s="1021">
        <f t="shared" si="215"/>
        <v>103.02449487652459</v>
      </c>
      <c r="M522" s="1021">
        <f t="shared" si="215"/>
        <v>103.7476477534517</v>
      </c>
      <c r="N522" s="1021">
        <f t="shared" si="215"/>
        <v>104.02047945382022</v>
      </c>
      <c r="O522" s="1021">
        <f t="shared" si="215"/>
        <v>104.13574942661619</v>
      </c>
      <c r="P522" s="1021">
        <f t="shared" si="215"/>
        <v>104.40655756101282</v>
      </c>
      <c r="Q522" s="1021">
        <f t="shared" si="215"/>
        <v>105.80535615919057</v>
      </c>
      <c r="R522" s="1021">
        <f t="shared" si="215"/>
        <v>107.14014876521962</v>
      </c>
      <c r="S522" s="1021">
        <f t="shared" si="215"/>
        <v>107.18619202437931</v>
      </c>
      <c r="T522" s="1021">
        <f t="shared" si="215"/>
        <v>108.26527174859932</v>
      </c>
      <c r="U522" s="1021">
        <f t="shared" si="215"/>
        <v>111.22464346799559</v>
      </c>
      <c r="V522" s="1021">
        <f t="shared" si="215"/>
        <v>115.50724366684237</v>
      </c>
      <c r="W522" s="1021">
        <f t="shared" si="215"/>
        <v>118.05066438257356</v>
      </c>
      <c r="X522" s="1021">
        <f t="shared" si="215"/>
        <v>121.9916612921233</v>
      </c>
      <c r="Y522" s="1021">
        <f t="shared" si="215"/>
        <v>122.33901068576019</v>
      </c>
      <c r="Z522" s="1021">
        <f t="shared" si="215"/>
        <v>123.48550583869134</v>
      </c>
      <c r="AA522" s="1021">
        <f t="shared" si="215"/>
        <v>123.48550583869134</v>
      </c>
      <c r="AB522" s="1021">
        <f t="shared" si="215"/>
        <v>123.72393820134891</v>
      </c>
      <c r="AC522" s="1021">
        <f t="shared" si="215"/>
        <v>124.61176266323717</v>
      </c>
      <c r="AD522" s="1021">
        <f t="shared" si="215"/>
        <v>125.36861694870575</v>
      </c>
      <c r="AE522" s="1021">
        <f t="shared" si="215"/>
        <v>126.35335377067189</v>
      </c>
      <c r="AF522" s="1021">
        <f t="shared" si="215"/>
        <v>129.03550765902017</v>
      </c>
    </row>
    <row r="523" spans="1:32" ht="14.25" customHeight="1" outlineLevel="2">
      <c r="A523" s="999"/>
      <c r="B523" s="1958" t="s">
        <v>1877</v>
      </c>
      <c r="C523" s="1958"/>
      <c r="D523" s="1958"/>
      <c r="E523" s="1958"/>
      <c r="F523" s="1020">
        <f>+F524+F529</f>
        <v>102829.52834399999</v>
      </c>
      <c r="G523" s="1019">
        <v>2.0764966720849959E-2</v>
      </c>
      <c r="H523" s="1018">
        <f t="shared" ref="H523:AF523" si="216">+($G$524*H524+$G$529*H529)/$G$523</f>
        <v>100</v>
      </c>
      <c r="I523" s="1018">
        <f t="shared" si="216"/>
        <v>102.03246954864483</v>
      </c>
      <c r="J523" s="1018">
        <f t="shared" si="216"/>
        <v>100.1211068827886</v>
      </c>
      <c r="K523" s="1018">
        <f t="shared" si="216"/>
        <v>100.59761003523545</v>
      </c>
      <c r="L523" s="1018">
        <f t="shared" si="216"/>
        <v>103.22791000947011</v>
      </c>
      <c r="M523" s="1018">
        <f t="shared" si="216"/>
        <v>103.22791000947011</v>
      </c>
      <c r="N523" s="1018">
        <f t="shared" si="216"/>
        <v>103.22791000947011</v>
      </c>
      <c r="O523" s="1018">
        <f t="shared" si="216"/>
        <v>103.22791000947011</v>
      </c>
      <c r="P523" s="1018">
        <f t="shared" si="216"/>
        <v>103.22791000947011</v>
      </c>
      <c r="Q523" s="1018">
        <f t="shared" si="216"/>
        <v>105.57663547754017</v>
      </c>
      <c r="R523" s="1018">
        <f t="shared" si="216"/>
        <v>108.10851644950087</v>
      </c>
      <c r="S523" s="1018">
        <f t="shared" si="216"/>
        <v>108.10851644950087</v>
      </c>
      <c r="T523" s="1018">
        <f t="shared" si="216"/>
        <v>108.73139445225866</v>
      </c>
      <c r="U523" s="1018">
        <f t="shared" si="216"/>
        <v>109.61912097652416</v>
      </c>
      <c r="V523" s="1018">
        <f t="shared" si="216"/>
        <v>115.84016727792149</v>
      </c>
      <c r="W523" s="1018">
        <f t="shared" si="216"/>
        <v>116.00164312163963</v>
      </c>
      <c r="X523" s="1018">
        <f t="shared" si="216"/>
        <v>123.15522380239446</v>
      </c>
      <c r="Y523" s="1018">
        <f t="shared" si="216"/>
        <v>123.77810180515225</v>
      </c>
      <c r="Z523" s="1018">
        <f t="shared" si="216"/>
        <v>123.77810180515225</v>
      </c>
      <c r="AA523" s="1018">
        <f t="shared" si="216"/>
        <v>123.77810180515225</v>
      </c>
      <c r="AB523" s="1018">
        <f t="shared" si="216"/>
        <v>124.47217238311832</v>
      </c>
      <c r="AC523" s="1018">
        <f t="shared" si="216"/>
        <v>124.9658697109016</v>
      </c>
      <c r="AD523" s="1018">
        <f t="shared" si="216"/>
        <v>124.9658697109016</v>
      </c>
      <c r="AE523" s="1018">
        <f t="shared" si="216"/>
        <v>124.96048718277767</v>
      </c>
      <c r="AF523" s="1018">
        <f t="shared" si="216"/>
        <v>128.30734075271411</v>
      </c>
    </row>
    <row r="524" spans="1:32" s="1010" customFormat="1" outlineLevel="3">
      <c r="A524" s="999"/>
      <c r="B524" s="999"/>
      <c r="C524" s="1956" t="s">
        <v>1876</v>
      </c>
      <c r="D524" s="1956"/>
      <c r="E524" s="1956"/>
      <c r="F524" s="998">
        <f>SUM(F525:F528)</f>
        <v>40862.603453999996</v>
      </c>
      <c r="G524" s="997">
        <v>8.2516239694403713E-3</v>
      </c>
      <c r="H524" s="996">
        <f t="shared" ref="H524:AF524" si="217">+SUMPRODUCT(H525:H528,$G525:$G528)/$G524</f>
        <v>100</v>
      </c>
      <c r="I524" s="996">
        <f t="shared" si="217"/>
        <v>105.11464927328882</v>
      </c>
      <c r="J524" s="996">
        <f t="shared" si="217"/>
        <v>100.30476187476363</v>
      </c>
      <c r="K524" s="996">
        <f t="shared" si="217"/>
        <v>101.50386791008263</v>
      </c>
      <c r="L524" s="996">
        <f t="shared" si="217"/>
        <v>108.12293969923735</v>
      </c>
      <c r="M524" s="996">
        <f t="shared" si="217"/>
        <v>108.12293969923735</v>
      </c>
      <c r="N524" s="996">
        <f t="shared" si="217"/>
        <v>108.12293969923735</v>
      </c>
      <c r="O524" s="996">
        <f t="shared" si="217"/>
        <v>108.12293969923735</v>
      </c>
      <c r="P524" s="996">
        <f t="shared" si="217"/>
        <v>108.12293969923735</v>
      </c>
      <c r="Q524" s="996">
        <f t="shared" si="217"/>
        <v>110.11480260352386</v>
      </c>
      <c r="R524" s="996">
        <f t="shared" si="217"/>
        <v>110.21638989511173</v>
      </c>
      <c r="S524" s="996">
        <f t="shared" si="217"/>
        <v>110.21638989511173</v>
      </c>
      <c r="T524" s="996">
        <f t="shared" si="217"/>
        <v>110.21638989511173</v>
      </c>
      <c r="U524" s="996">
        <f t="shared" si="217"/>
        <v>110.88287333589153</v>
      </c>
      <c r="V524" s="996">
        <f t="shared" si="217"/>
        <v>112.73610876630774</v>
      </c>
      <c r="W524" s="996">
        <f t="shared" si="217"/>
        <v>113.14245793265923</v>
      </c>
      <c r="X524" s="996">
        <f t="shared" si="217"/>
        <v>118.90984244105535</v>
      </c>
      <c r="Y524" s="996">
        <f t="shared" si="217"/>
        <v>118.90984244105535</v>
      </c>
      <c r="Z524" s="996">
        <f t="shared" si="217"/>
        <v>118.90984244105535</v>
      </c>
      <c r="AA524" s="996">
        <f t="shared" si="217"/>
        <v>118.90984244105535</v>
      </c>
      <c r="AB524" s="996">
        <f t="shared" si="217"/>
        <v>120.65645044291801</v>
      </c>
      <c r="AC524" s="996">
        <f t="shared" si="217"/>
        <v>120.33137110983681</v>
      </c>
      <c r="AD524" s="996">
        <f t="shared" si="217"/>
        <v>120.33137110983681</v>
      </c>
      <c r="AE524" s="996">
        <f t="shared" si="217"/>
        <v>120.31782613762509</v>
      </c>
      <c r="AF524" s="996">
        <f t="shared" si="217"/>
        <v>128.74008377523307</v>
      </c>
    </row>
    <row r="525" spans="1:32" s="1010" customFormat="1" outlineLevel="4">
      <c r="A525" s="999"/>
      <c r="B525" s="999"/>
      <c r="C525" s="999"/>
      <c r="D525" s="1015">
        <f>+D521+1</f>
        <v>128</v>
      </c>
      <c r="E525" s="1014" t="s">
        <v>1875</v>
      </c>
      <c r="F525" s="988">
        <f>+'[11]7'!$P$93+'[11]7'!$P$95+'[11]7'!$P$98+'[11]7'!$P$104+'[11]7'!$P$106</f>
        <v>22591.166944999997</v>
      </c>
      <c r="G525" s="987">
        <v>4.5619661720977091E-3</v>
      </c>
      <c r="H525" s="986">
        <f>IF(H183=0,100,H183/H183*100)</f>
        <v>100</v>
      </c>
      <c r="I525" s="986">
        <f t="shared" ref="I525:AF525" si="218">IF(I183=0,100,I183/H183*H525)</f>
        <v>106.06060606060606</v>
      </c>
      <c r="J525" s="986">
        <f t="shared" si="218"/>
        <v>100</v>
      </c>
      <c r="K525" s="986">
        <f t="shared" si="218"/>
        <v>100</v>
      </c>
      <c r="L525" s="986">
        <f t="shared" si="218"/>
        <v>109.09090909090908</v>
      </c>
      <c r="M525" s="986">
        <f t="shared" si="218"/>
        <v>109.09090909090908</v>
      </c>
      <c r="N525" s="986">
        <f t="shared" si="218"/>
        <v>109.09090909090908</v>
      </c>
      <c r="O525" s="986">
        <f t="shared" si="218"/>
        <v>109.09090909090908</v>
      </c>
      <c r="P525" s="986">
        <f t="shared" si="218"/>
        <v>109.09090909090908</v>
      </c>
      <c r="Q525" s="986">
        <f t="shared" si="218"/>
        <v>109.09090909090908</v>
      </c>
      <c r="R525" s="986">
        <f t="shared" si="218"/>
        <v>109.09090909090908</v>
      </c>
      <c r="S525" s="986">
        <f t="shared" si="218"/>
        <v>109.09090909090908</v>
      </c>
      <c r="T525" s="986">
        <f t="shared" si="218"/>
        <v>109.09090909090908</v>
      </c>
      <c r="U525" s="986">
        <f t="shared" si="218"/>
        <v>109.09090909090908</v>
      </c>
      <c r="V525" s="986">
        <f t="shared" si="218"/>
        <v>109.09090909090908</v>
      </c>
      <c r="W525" s="986">
        <f t="shared" si="218"/>
        <v>109.09090909090908</v>
      </c>
      <c r="X525" s="986">
        <f t="shared" si="218"/>
        <v>118.78787878787877</v>
      </c>
      <c r="Y525" s="986">
        <f t="shared" si="218"/>
        <v>118.78787878787877</v>
      </c>
      <c r="Z525" s="986">
        <f t="shared" si="218"/>
        <v>118.78787878787877</v>
      </c>
      <c r="AA525" s="986">
        <f t="shared" si="218"/>
        <v>118.78787878787877</v>
      </c>
      <c r="AB525" s="986">
        <f t="shared" si="218"/>
        <v>121.21212121212119</v>
      </c>
      <c r="AC525" s="986">
        <f t="shared" si="218"/>
        <v>121.21212121212119</v>
      </c>
      <c r="AD525" s="986">
        <f t="shared" si="218"/>
        <v>121.21212121212119</v>
      </c>
      <c r="AE525" s="986">
        <f t="shared" si="218"/>
        <v>121.21212121212119</v>
      </c>
      <c r="AF525" s="986">
        <f t="shared" si="218"/>
        <v>133.33333333333331</v>
      </c>
    </row>
    <row r="526" spans="1:32" s="1010" customFormat="1" outlineLevel="4">
      <c r="A526" s="999"/>
      <c r="B526" s="999"/>
      <c r="C526" s="999"/>
      <c r="D526" s="1015">
        <f>+D525+1</f>
        <v>129</v>
      </c>
      <c r="E526" s="1014" t="s">
        <v>1874</v>
      </c>
      <c r="F526" s="988">
        <f>+'[11]7'!$P$96+'[11]7'!$P$97+'[11]7'!$P$100+'[11]7'!$P$133+'[11]7'!$P$101+'[11]7'!$P$102+'[11]7'!$P$105</f>
        <v>10988.015039</v>
      </c>
      <c r="G526" s="987">
        <v>2.2188739974547118E-3</v>
      </c>
      <c r="H526" s="986">
        <f>IF(H184=0,100,H184/H184*100)</f>
        <v>100</v>
      </c>
      <c r="I526" s="986">
        <f t="shared" ref="I526:AF526" si="219">IF(I184=0,100,I184/H184*H526)</f>
        <v>103.7037037037037</v>
      </c>
      <c r="J526" s="986">
        <f t="shared" si="219"/>
        <v>100</v>
      </c>
      <c r="K526" s="986">
        <f t="shared" si="219"/>
        <v>103.7037037037037</v>
      </c>
      <c r="L526" s="986">
        <f t="shared" si="219"/>
        <v>103.7037037037037</v>
      </c>
      <c r="M526" s="986">
        <f t="shared" si="219"/>
        <v>103.7037037037037</v>
      </c>
      <c r="N526" s="986">
        <f t="shared" si="219"/>
        <v>103.7037037037037</v>
      </c>
      <c r="O526" s="986">
        <f t="shared" si="219"/>
        <v>103.7037037037037</v>
      </c>
      <c r="P526" s="986">
        <f t="shared" si="219"/>
        <v>103.7037037037037</v>
      </c>
      <c r="Q526" s="986">
        <f t="shared" si="219"/>
        <v>111.1111111111111</v>
      </c>
      <c r="R526" s="986">
        <f t="shared" si="219"/>
        <v>111.1111111111111</v>
      </c>
      <c r="S526" s="986">
        <f t="shared" si="219"/>
        <v>111.1111111111111</v>
      </c>
      <c r="T526" s="986">
        <f t="shared" si="219"/>
        <v>111.1111111111111</v>
      </c>
      <c r="U526" s="986">
        <f t="shared" si="219"/>
        <v>111.1111111111111</v>
      </c>
      <c r="V526" s="986">
        <f t="shared" si="219"/>
        <v>111.1111111111111</v>
      </c>
      <c r="W526" s="986">
        <f t="shared" si="219"/>
        <v>111.1111111111111</v>
      </c>
      <c r="X526" s="986">
        <f t="shared" si="219"/>
        <v>111.1111111111111</v>
      </c>
      <c r="Y526" s="986">
        <f t="shared" si="219"/>
        <v>111.1111111111111</v>
      </c>
      <c r="Z526" s="986">
        <f t="shared" si="219"/>
        <v>111.1111111111111</v>
      </c>
      <c r="AA526" s="986">
        <f t="shared" si="219"/>
        <v>111.1111111111111</v>
      </c>
      <c r="AB526" s="986">
        <f t="shared" si="219"/>
        <v>111.1111111111111</v>
      </c>
      <c r="AC526" s="986">
        <f t="shared" si="219"/>
        <v>111.1111111111111</v>
      </c>
      <c r="AD526" s="986">
        <f t="shared" si="219"/>
        <v>111.1111111111111</v>
      </c>
      <c r="AE526" s="986">
        <f t="shared" si="219"/>
        <v>111.1111111111111</v>
      </c>
      <c r="AF526" s="986">
        <f t="shared" si="219"/>
        <v>118.5185185185185</v>
      </c>
    </row>
    <row r="527" spans="1:32" s="1010" customFormat="1" outlineLevel="4">
      <c r="A527" s="999"/>
      <c r="B527" s="999"/>
      <c r="C527" s="999"/>
      <c r="D527" s="1015">
        <f>+D526+1</f>
        <v>130</v>
      </c>
      <c r="E527" s="1014" t="s">
        <v>1873</v>
      </c>
      <c r="F527" s="988">
        <f>+'[11]7'!$P$94</f>
        <v>2739.74</v>
      </c>
      <c r="G527" s="987">
        <v>5.5325168596964561E-4</v>
      </c>
      <c r="H527" s="986">
        <f>IF(H185=0,100,H185/H185*100)</f>
        <v>100</v>
      </c>
      <c r="I527" s="986">
        <f t="shared" ref="I527:AF527" si="220">IF(I185=0,100,I185/H185*H527)</f>
        <v>104.54545454545455</v>
      </c>
      <c r="J527" s="986">
        <f t="shared" si="220"/>
        <v>104.54545454545455</v>
      </c>
      <c r="K527" s="986">
        <f t="shared" si="220"/>
        <v>107.57575757575756</v>
      </c>
      <c r="L527" s="986">
        <f t="shared" si="220"/>
        <v>110.60606060606059</v>
      </c>
      <c r="M527" s="986">
        <f t="shared" si="220"/>
        <v>110.60606060606059</v>
      </c>
      <c r="N527" s="986">
        <f t="shared" si="220"/>
        <v>110.60606060606059</v>
      </c>
      <c r="O527" s="986">
        <f t="shared" si="220"/>
        <v>110.60606060606059</v>
      </c>
      <c r="P527" s="986">
        <f t="shared" si="220"/>
        <v>110.60606060606059</v>
      </c>
      <c r="Q527" s="986">
        <f t="shared" si="220"/>
        <v>110.60606060606059</v>
      </c>
      <c r="R527" s="986">
        <f t="shared" si="220"/>
        <v>112.12121212121211</v>
      </c>
      <c r="S527" s="986">
        <f t="shared" si="220"/>
        <v>112.12121212121211</v>
      </c>
      <c r="T527" s="986">
        <f t="shared" si="220"/>
        <v>112.12121212121211</v>
      </c>
      <c r="U527" s="986">
        <f t="shared" si="220"/>
        <v>115.15151515151513</v>
      </c>
      <c r="V527" s="986">
        <f t="shared" si="220"/>
        <v>115.15151515151513</v>
      </c>
      <c r="W527" s="986">
        <f t="shared" si="220"/>
        <v>121.21212121212118</v>
      </c>
      <c r="X527" s="986">
        <f t="shared" si="220"/>
        <v>127.27272727272724</v>
      </c>
      <c r="Y527" s="986">
        <f t="shared" si="220"/>
        <v>127.27272727272724</v>
      </c>
      <c r="Z527" s="986">
        <f t="shared" si="220"/>
        <v>127.27272727272724</v>
      </c>
      <c r="AA527" s="986">
        <f t="shared" si="220"/>
        <v>127.27272727272724</v>
      </c>
      <c r="AB527" s="986">
        <f t="shared" si="220"/>
        <v>133.33333333333331</v>
      </c>
      <c r="AC527" s="986">
        <f t="shared" si="220"/>
        <v>128.48484848484847</v>
      </c>
      <c r="AD527" s="986">
        <f t="shared" si="220"/>
        <v>128.48484848484847</v>
      </c>
      <c r="AE527" s="986">
        <f t="shared" si="220"/>
        <v>128.28282828282826</v>
      </c>
      <c r="AF527" s="986">
        <f t="shared" si="220"/>
        <v>124.24242424242424</v>
      </c>
    </row>
    <row r="528" spans="1:32" outlineLevel="4">
      <c r="A528" s="999"/>
      <c r="B528" s="999"/>
      <c r="C528" s="999"/>
      <c r="D528" s="1015">
        <f>+D527+1</f>
        <v>131</v>
      </c>
      <c r="E528" s="1026" t="s">
        <v>1872</v>
      </c>
      <c r="F528" s="988">
        <f>+'[11]7'!$P$99+'[11]7'!$P$107+'[11]7'!$P$108+'[11]7'!$P$114</f>
        <v>4543.6814699999995</v>
      </c>
      <c r="G528" s="987">
        <v>9.1753211391830533E-4</v>
      </c>
      <c r="H528" s="986">
        <f>IF(H186=0,100,H186/H186*100)</f>
        <v>100</v>
      </c>
      <c r="I528" s="986">
        <f t="shared" ref="I528:AF528" si="221">IF(I186=0,100,I186/H186*H528)</f>
        <v>104.16666666666667</v>
      </c>
      <c r="J528" s="986">
        <f t="shared" si="221"/>
        <v>100</v>
      </c>
      <c r="K528" s="986">
        <f t="shared" si="221"/>
        <v>100</v>
      </c>
      <c r="L528" s="986">
        <f t="shared" si="221"/>
        <v>112.5</v>
      </c>
      <c r="M528" s="986">
        <f t="shared" si="221"/>
        <v>112.5</v>
      </c>
      <c r="N528" s="986">
        <f t="shared" si="221"/>
        <v>112.5</v>
      </c>
      <c r="O528" s="986">
        <f t="shared" si="221"/>
        <v>112.5</v>
      </c>
      <c r="P528" s="986">
        <f t="shared" si="221"/>
        <v>112.5</v>
      </c>
      <c r="Q528" s="986">
        <f t="shared" si="221"/>
        <v>112.5</v>
      </c>
      <c r="R528" s="986">
        <f t="shared" si="221"/>
        <v>112.5</v>
      </c>
      <c r="S528" s="986">
        <f t="shared" si="221"/>
        <v>112.5</v>
      </c>
      <c r="T528" s="986">
        <f t="shared" si="221"/>
        <v>112.5</v>
      </c>
      <c r="U528" s="986">
        <f t="shared" si="221"/>
        <v>116.66666666666666</v>
      </c>
      <c r="V528" s="986">
        <f t="shared" si="221"/>
        <v>133.33333333333331</v>
      </c>
      <c r="W528" s="986">
        <f t="shared" si="221"/>
        <v>133.33333333333331</v>
      </c>
      <c r="X528" s="986">
        <f t="shared" si="221"/>
        <v>133.33333333333331</v>
      </c>
      <c r="Y528" s="986">
        <f t="shared" si="221"/>
        <v>133.33333333333331</v>
      </c>
      <c r="Z528" s="986">
        <f t="shared" si="221"/>
        <v>133.33333333333331</v>
      </c>
      <c r="AA528" s="986">
        <f t="shared" si="221"/>
        <v>133.33333333333331</v>
      </c>
      <c r="AB528" s="986">
        <f t="shared" si="221"/>
        <v>133.33333333333331</v>
      </c>
      <c r="AC528" s="986">
        <f t="shared" si="221"/>
        <v>133.33333333333331</v>
      </c>
      <c r="AD528" s="986">
        <f t="shared" si="221"/>
        <v>133.33333333333331</v>
      </c>
      <c r="AE528" s="986">
        <f t="shared" si="221"/>
        <v>133.33333333333331</v>
      </c>
      <c r="AF528" s="986">
        <f t="shared" si="221"/>
        <v>133.33333333333331</v>
      </c>
    </row>
    <row r="529" spans="1:32" s="1010" customFormat="1" outlineLevel="3">
      <c r="A529" s="999"/>
      <c r="B529" s="999"/>
      <c r="C529" s="1956" t="s">
        <v>1871</v>
      </c>
      <c r="D529" s="1956"/>
      <c r="E529" s="1956"/>
      <c r="F529" s="998">
        <f>SUM(F530:F531)</f>
        <v>61966.924889999995</v>
      </c>
      <c r="G529" s="997">
        <v>1.2513342751409586E-2</v>
      </c>
      <c r="H529" s="996">
        <f t="shared" ref="H529:AF529" si="222">+SUMPRODUCT(H530:H531,$G530:$G531)/$G529</f>
        <v>100</v>
      </c>
      <c r="I529" s="996">
        <f t="shared" si="222"/>
        <v>100</v>
      </c>
      <c r="J529" s="996">
        <f t="shared" si="222"/>
        <v>100</v>
      </c>
      <c r="K529" s="996">
        <f t="shared" si="222"/>
        <v>100</v>
      </c>
      <c r="L529" s="996">
        <f t="shared" si="222"/>
        <v>100</v>
      </c>
      <c r="M529" s="996">
        <f t="shared" si="222"/>
        <v>100</v>
      </c>
      <c r="N529" s="996">
        <f t="shared" si="222"/>
        <v>100</v>
      </c>
      <c r="O529" s="996">
        <f t="shared" si="222"/>
        <v>100</v>
      </c>
      <c r="P529" s="996">
        <f t="shared" si="222"/>
        <v>100</v>
      </c>
      <c r="Q529" s="996">
        <f t="shared" si="222"/>
        <v>102.58404993281232</v>
      </c>
      <c r="R529" s="996">
        <f t="shared" si="222"/>
        <v>106.71852982531207</v>
      </c>
      <c r="S529" s="996">
        <f t="shared" si="222"/>
        <v>106.71852982531207</v>
      </c>
      <c r="T529" s="996">
        <f t="shared" si="222"/>
        <v>107.75214979843699</v>
      </c>
      <c r="U529" s="996">
        <f t="shared" si="222"/>
        <v>108.78576977156195</v>
      </c>
      <c r="V529" s="996">
        <f t="shared" si="222"/>
        <v>117.88706426826346</v>
      </c>
      <c r="W529" s="996">
        <f t="shared" si="222"/>
        <v>117.88706426826346</v>
      </c>
      <c r="X529" s="996">
        <f t="shared" si="222"/>
        <v>125.95473879184004</v>
      </c>
      <c r="Y529" s="996">
        <f t="shared" si="222"/>
        <v>126.98835876496499</v>
      </c>
      <c r="Z529" s="996">
        <f t="shared" si="222"/>
        <v>126.98835876496499</v>
      </c>
      <c r="AA529" s="996">
        <f t="shared" si="222"/>
        <v>126.98835876496499</v>
      </c>
      <c r="AB529" s="996">
        <f t="shared" si="222"/>
        <v>126.98835876496499</v>
      </c>
      <c r="AC529" s="996">
        <f t="shared" si="222"/>
        <v>128.02197873808993</v>
      </c>
      <c r="AD529" s="996">
        <f t="shared" si="222"/>
        <v>128.02197873808993</v>
      </c>
      <c r="AE529" s="996">
        <f t="shared" si="222"/>
        <v>128.02197873808993</v>
      </c>
      <c r="AF529" s="996">
        <f t="shared" si="222"/>
        <v>128.02197873808993</v>
      </c>
    </row>
    <row r="530" spans="1:32" s="1010" customFormat="1" outlineLevel="4">
      <c r="A530" s="999"/>
      <c r="B530" s="999"/>
      <c r="C530" s="999"/>
      <c r="D530" s="1017">
        <f>+D528+1</f>
        <v>132</v>
      </c>
      <c r="E530" s="1014" t="s">
        <v>1870</v>
      </c>
      <c r="F530" s="988">
        <f>+'[11]7'!$P$109+'[11]7'!$P$110+'[11]7'!$P$111+'[11]7'!$P$113</f>
        <v>22737.839190000002</v>
      </c>
      <c r="G530" s="987">
        <v>4.5915845544373494E-3</v>
      </c>
      <c r="H530" s="986">
        <f>IF(H188=0,100,H188/H188*100)</f>
        <v>100</v>
      </c>
      <c r="I530" s="986">
        <f t="shared" ref="I530:AF530" si="223">IF(I188=0,100,I188/H188*H530)</f>
        <v>100</v>
      </c>
      <c r="J530" s="986">
        <f t="shared" si="223"/>
        <v>100</v>
      </c>
      <c r="K530" s="986">
        <f t="shared" si="223"/>
        <v>100</v>
      </c>
      <c r="L530" s="986">
        <f t="shared" si="223"/>
        <v>100</v>
      </c>
      <c r="M530" s="986">
        <f t="shared" si="223"/>
        <v>100</v>
      </c>
      <c r="N530" s="986">
        <f t="shared" si="223"/>
        <v>100</v>
      </c>
      <c r="O530" s="986">
        <f t="shared" si="223"/>
        <v>100</v>
      </c>
      <c r="P530" s="986">
        <f t="shared" si="223"/>
        <v>100</v>
      </c>
      <c r="Q530" s="986">
        <f t="shared" si="223"/>
        <v>107.04225352112675</v>
      </c>
      <c r="R530" s="986">
        <f t="shared" si="223"/>
        <v>118.30985915492958</v>
      </c>
      <c r="S530" s="986">
        <f t="shared" si="223"/>
        <v>118.30985915492958</v>
      </c>
      <c r="T530" s="986">
        <f t="shared" si="223"/>
        <v>121.12676056338027</v>
      </c>
      <c r="U530" s="986">
        <f t="shared" si="223"/>
        <v>123.94366197183098</v>
      </c>
      <c r="V530" s="986">
        <f t="shared" si="223"/>
        <v>129.57746478873239</v>
      </c>
      <c r="W530" s="986">
        <f t="shared" si="223"/>
        <v>129.57746478873239</v>
      </c>
      <c r="X530" s="986">
        <f t="shared" si="223"/>
        <v>132.3943661971831</v>
      </c>
      <c r="Y530" s="986">
        <f t="shared" si="223"/>
        <v>135.21126760563379</v>
      </c>
      <c r="Z530" s="986">
        <f t="shared" si="223"/>
        <v>135.21126760563379</v>
      </c>
      <c r="AA530" s="986">
        <f t="shared" si="223"/>
        <v>135.21126760563379</v>
      </c>
      <c r="AB530" s="986">
        <f t="shared" si="223"/>
        <v>135.21126760563379</v>
      </c>
      <c r="AC530" s="986">
        <f t="shared" si="223"/>
        <v>138.02816901408448</v>
      </c>
      <c r="AD530" s="986">
        <f t="shared" si="223"/>
        <v>138.02816901408448</v>
      </c>
      <c r="AE530" s="986">
        <f t="shared" si="223"/>
        <v>138.02816901408448</v>
      </c>
      <c r="AF530" s="986">
        <f t="shared" si="223"/>
        <v>138.02816901408448</v>
      </c>
    </row>
    <row r="531" spans="1:32" outlineLevel="4">
      <c r="A531" s="999"/>
      <c r="B531" s="999"/>
      <c r="C531" s="999"/>
      <c r="D531" s="1015">
        <f>+D530+1</f>
        <v>133</v>
      </c>
      <c r="E531" s="1014" t="s">
        <v>1869</v>
      </c>
      <c r="F531" s="988">
        <f>+'[11]7'!$P$112</f>
        <v>39229.085699999996</v>
      </c>
      <c r="G531" s="987">
        <v>7.9217581969722364E-3</v>
      </c>
      <c r="H531" s="986">
        <f>IF(H189=0,100,H189/H189*100)</f>
        <v>100</v>
      </c>
      <c r="I531" s="986">
        <f t="shared" ref="I531:AF531" si="224">IF(I189=0,100,I189/H189*H531)</f>
        <v>100</v>
      </c>
      <c r="J531" s="986">
        <f t="shared" si="224"/>
        <v>100</v>
      </c>
      <c r="K531" s="986">
        <f t="shared" si="224"/>
        <v>100</v>
      </c>
      <c r="L531" s="986">
        <f t="shared" si="224"/>
        <v>100</v>
      </c>
      <c r="M531" s="986">
        <f t="shared" si="224"/>
        <v>100</v>
      </c>
      <c r="N531" s="986">
        <f t="shared" si="224"/>
        <v>100</v>
      </c>
      <c r="O531" s="986">
        <f t="shared" si="224"/>
        <v>100</v>
      </c>
      <c r="P531" s="986">
        <f t="shared" si="224"/>
        <v>100</v>
      </c>
      <c r="Q531" s="986">
        <f t="shared" si="224"/>
        <v>100</v>
      </c>
      <c r="R531" s="986">
        <f t="shared" si="224"/>
        <v>100</v>
      </c>
      <c r="S531" s="986">
        <f t="shared" si="224"/>
        <v>100</v>
      </c>
      <c r="T531" s="986">
        <f t="shared" si="224"/>
        <v>100</v>
      </c>
      <c r="U531" s="986">
        <f t="shared" si="224"/>
        <v>100</v>
      </c>
      <c r="V531" s="986">
        <f t="shared" si="224"/>
        <v>111.11111111111111</v>
      </c>
      <c r="W531" s="986">
        <f t="shared" si="224"/>
        <v>111.11111111111111</v>
      </c>
      <c r="X531" s="986">
        <f t="shared" si="224"/>
        <v>122.22222222222223</v>
      </c>
      <c r="Y531" s="986">
        <f t="shared" si="224"/>
        <v>122.22222222222223</v>
      </c>
      <c r="Z531" s="986">
        <f t="shared" si="224"/>
        <v>122.22222222222223</v>
      </c>
      <c r="AA531" s="986">
        <f t="shared" si="224"/>
        <v>122.22222222222223</v>
      </c>
      <c r="AB531" s="986">
        <f t="shared" si="224"/>
        <v>122.22222222222223</v>
      </c>
      <c r="AC531" s="986">
        <f t="shared" si="224"/>
        <v>122.22222222222223</v>
      </c>
      <c r="AD531" s="986">
        <f t="shared" si="224"/>
        <v>122.22222222222223</v>
      </c>
      <c r="AE531" s="986">
        <f t="shared" si="224"/>
        <v>122.22222222222223</v>
      </c>
      <c r="AF531" s="986">
        <f t="shared" si="224"/>
        <v>122.22222222222223</v>
      </c>
    </row>
    <row r="532" spans="1:32" outlineLevel="2">
      <c r="A532" s="999"/>
      <c r="B532" s="1955" t="s">
        <v>1868</v>
      </c>
      <c r="C532" s="1955"/>
      <c r="D532" s="1955"/>
      <c r="E532" s="1955"/>
      <c r="F532" s="1020">
        <f>+F533</f>
        <v>39997.012336</v>
      </c>
      <c r="G532" s="1019">
        <v>8.0768301038203327E-3</v>
      </c>
      <c r="H532" s="1018">
        <f t="shared" ref="H532:AF532" si="225">+$G$533*H533/$G$532</f>
        <v>99.999999999999986</v>
      </c>
      <c r="I532" s="1018">
        <f t="shared" si="225"/>
        <v>99.999999999999986</v>
      </c>
      <c r="J532" s="1018">
        <f t="shared" si="225"/>
        <v>99.999999999999986</v>
      </c>
      <c r="K532" s="1018">
        <f t="shared" si="225"/>
        <v>99.999999999999986</v>
      </c>
      <c r="L532" s="1018">
        <f t="shared" si="225"/>
        <v>103.64250673393705</v>
      </c>
      <c r="M532" s="1018">
        <f t="shared" si="225"/>
        <v>103.64250673393705</v>
      </c>
      <c r="N532" s="1018">
        <f t="shared" si="225"/>
        <v>103.64250673393705</v>
      </c>
      <c r="O532" s="1018">
        <f t="shared" si="225"/>
        <v>103.64250673393705</v>
      </c>
      <c r="P532" s="1018">
        <f t="shared" si="225"/>
        <v>104.23316155679082</v>
      </c>
      <c r="Q532" s="1018">
        <f t="shared" si="225"/>
        <v>104.23316155679082</v>
      </c>
      <c r="R532" s="1018">
        <f t="shared" si="225"/>
        <v>104.23316155679082</v>
      </c>
      <c r="S532" s="1018">
        <f t="shared" si="225"/>
        <v>104.23316155679082</v>
      </c>
      <c r="T532" s="1018">
        <f t="shared" si="225"/>
        <v>108.09221466050647</v>
      </c>
      <c r="U532" s="1018">
        <f t="shared" si="225"/>
        <v>109.17869182502749</v>
      </c>
      <c r="V532" s="1018">
        <f t="shared" si="225"/>
        <v>113.03774492874314</v>
      </c>
      <c r="W532" s="1018">
        <f t="shared" si="225"/>
        <v>114.65445535009793</v>
      </c>
      <c r="X532" s="1018">
        <f t="shared" si="225"/>
        <v>116.58398190195577</v>
      </c>
      <c r="Y532" s="1018">
        <f t="shared" si="225"/>
        <v>116.58398190195577</v>
      </c>
      <c r="Z532" s="1018">
        <f t="shared" si="225"/>
        <v>120.44303500567143</v>
      </c>
      <c r="AA532" s="1018">
        <f t="shared" si="225"/>
        <v>120.44303500567143</v>
      </c>
      <c r="AB532" s="1018">
        <f t="shared" si="225"/>
        <v>120.44303500567143</v>
      </c>
      <c r="AC532" s="1018">
        <f t="shared" si="225"/>
        <v>120.44303500567143</v>
      </c>
      <c r="AD532" s="1018">
        <f t="shared" si="225"/>
        <v>120.93885734733867</v>
      </c>
      <c r="AE532" s="1018">
        <f t="shared" si="225"/>
        <v>124.13366714272517</v>
      </c>
      <c r="AF532" s="1018">
        <f t="shared" si="225"/>
        <v>124.13366714272517</v>
      </c>
    </row>
    <row r="533" spans="1:32" s="1010" customFormat="1" outlineLevel="3">
      <c r="A533" s="999"/>
      <c r="B533" s="999"/>
      <c r="C533" s="1956" t="s">
        <v>1867</v>
      </c>
      <c r="D533" s="1956"/>
      <c r="E533" s="1956"/>
      <c r="F533" s="998">
        <f>SUM(F534:F537)</f>
        <v>39997.012336</v>
      </c>
      <c r="G533" s="997">
        <v>8.0768301038203327E-3</v>
      </c>
      <c r="H533" s="996">
        <f t="shared" ref="H533:AF533" si="226">+SUMPRODUCT(H534:H537,$G534:$G537)/$G533</f>
        <v>99.999999999999986</v>
      </c>
      <c r="I533" s="996">
        <f t="shared" si="226"/>
        <v>99.999999999999986</v>
      </c>
      <c r="J533" s="996">
        <f t="shared" si="226"/>
        <v>99.999999999999986</v>
      </c>
      <c r="K533" s="996">
        <f t="shared" si="226"/>
        <v>99.999999999999986</v>
      </c>
      <c r="L533" s="996">
        <f t="shared" si="226"/>
        <v>103.64250673393705</v>
      </c>
      <c r="M533" s="996">
        <f t="shared" si="226"/>
        <v>103.64250673393705</v>
      </c>
      <c r="N533" s="996">
        <f t="shared" si="226"/>
        <v>103.64250673393705</v>
      </c>
      <c r="O533" s="996">
        <f t="shared" si="226"/>
        <v>103.64250673393705</v>
      </c>
      <c r="P533" s="996">
        <f t="shared" si="226"/>
        <v>104.23316155679082</v>
      </c>
      <c r="Q533" s="996">
        <f t="shared" si="226"/>
        <v>104.23316155679082</v>
      </c>
      <c r="R533" s="996">
        <f t="shared" si="226"/>
        <v>104.23316155679082</v>
      </c>
      <c r="S533" s="996">
        <f t="shared" si="226"/>
        <v>104.23316155679082</v>
      </c>
      <c r="T533" s="996">
        <f t="shared" si="226"/>
        <v>108.09221466050647</v>
      </c>
      <c r="U533" s="996">
        <f t="shared" si="226"/>
        <v>109.17869182502749</v>
      </c>
      <c r="V533" s="996">
        <f t="shared" si="226"/>
        <v>113.03774492874314</v>
      </c>
      <c r="W533" s="996">
        <f t="shared" si="226"/>
        <v>114.65445535009793</v>
      </c>
      <c r="X533" s="996">
        <f t="shared" si="226"/>
        <v>116.58398190195577</v>
      </c>
      <c r="Y533" s="996">
        <f t="shared" si="226"/>
        <v>116.58398190195577</v>
      </c>
      <c r="Z533" s="996">
        <f t="shared" si="226"/>
        <v>120.44303500567143</v>
      </c>
      <c r="AA533" s="996">
        <f t="shared" si="226"/>
        <v>120.44303500567143</v>
      </c>
      <c r="AB533" s="996">
        <f t="shared" si="226"/>
        <v>120.44303500567143</v>
      </c>
      <c r="AC533" s="996">
        <f t="shared" si="226"/>
        <v>120.44303500567143</v>
      </c>
      <c r="AD533" s="996">
        <f t="shared" si="226"/>
        <v>120.93885734733867</v>
      </c>
      <c r="AE533" s="996">
        <f t="shared" si="226"/>
        <v>124.13366714272517</v>
      </c>
      <c r="AF533" s="996">
        <f t="shared" si="226"/>
        <v>124.13366714272517</v>
      </c>
    </row>
    <row r="534" spans="1:32" s="1010" customFormat="1" outlineLevel="4">
      <c r="A534" s="999"/>
      <c r="B534" s="999"/>
      <c r="C534" s="999"/>
      <c r="D534" s="1015">
        <f>+D531+1</f>
        <v>134</v>
      </c>
      <c r="E534" s="1014" t="s">
        <v>1866</v>
      </c>
      <c r="F534" s="988">
        <f>+'[11]7'!$P$117+'[11]7'!$P$115</f>
        <v>7759.6304</v>
      </c>
      <c r="G534" s="987">
        <v>1.5669474480429955E-3</v>
      </c>
      <c r="H534" s="986">
        <f>IF(H192=0,100,H192/H192*100)</f>
        <v>100</v>
      </c>
      <c r="I534" s="986">
        <f t="shared" ref="I534:AF534" si="227">IF(I192=0,100,I192/H192*H534)</f>
        <v>100</v>
      </c>
      <c r="J534" s="986">
        <f t="shared" si="227"/>
        <v>100</v>
      </c>
      <c r="K534" s="986">
        <f t="shared" si="227"/>
        <v>100</v>
      </c>
      <c r="L534" s="986">
        <f t="shared" si="227"/>
        <v>100</v>
      </c>
      <c r="M534" s="986">
        <f t="shared" si="227"/>
        <v>100</v>
      </c>
      <c r="N534" s="986">
        <f t="shared" si="227"/>
        <v>100</v>
      </c>
      <c r="O534" s="986">
        <f t="shared" si="227"/>
        <v>100</v>
      </c>
      <c r="P534" s="986">
        <f t="shared" si="227"/>
        <v>100</v>
      </c>
      <c r="Q534" s="986">
        <f t="shared" si="227"/>
        <v>100</v>
      </c>
      <c r="R534" s="986">
        <f t="shared" si="227"/>
        <v>100</v>
      </c>
      <c r="S534" s="986">
        <f t="shared" si="227"/>
        <v>100</v>
      </c>
      <c r="T534" s="986">
        <f t="shared" si="227"/>
        <v>100</v>
      </c>
      <c r="U534" s="986">
        <f t="shared" si="227"/>
        <v>100</v>
      </c>
      <c r="V534" s="986">
        <f t="shared" si="227"/>
        <v>100</v>
      </c>
      <c r="W534" s="986">
        <f t="shared" si="227"/>
        <v>108.33333333333333</v>
      </c>
      <c r="X534" s="986">
        <f t="shared" si="227"/>
        <v>108.33333333333333</v>
      </c>
      <c r="Y534" s="986">
        <f t="shared" si="227"/>
        <v>108.33333333333333</v>
      </c>
      <c r="Z534" s="986">
        <f t="shared" si="227"/>
        <v>108.33333333333333</v>
      </c>
      <c r="AA534" s="986">
        <f t="shared" si="227"/>
        <v>108.33333333333333</v>
      </c>
      <c r="AB534" s="986">
        <f t="shared" si="227"/>
        <v>108.33333333333333</v>
      </c>
      <c r="AC534" s="986">
        <f t="shared" si="227"/>
        <v>108.33333333333333</v>
      </c>
      <c r="AD534" s="986">
        <f t="shared" si="227"/>
        <v>108.33333333333333</v>
      </c>
      <c r="AE534" s="986">
        <f t="shared" si="227"/>
        <v>104.16666666666667</v>
      </c>
      <c r="AF534" s="986">
        <f t="shared" si="227"/>
        <v>104.16666666666667</v>
      </c>
    </row>
    <row r="535" spans="1:32" s="1010" customFormat="1" outlineLevel="4">
      <c r="A535" s="999"/>
      <c r="B535" s="999"/>
      <c r="C535" s="999"/>
      <c r="D535" s="1015">
        <f>+D534+1</f>
        <v>135</v>
      </c>
      <c r="E535" s="1014" t="s">
        <v>1865</v>
      </c>
      <c r="F535" s="988">
        <f>+'[11]7'!$P$103+'[11]7'!$P$120+'[11]7'!$P$121+'[11]7'!$P$122</f>
        <v>6147.7378179999996</v>
      </c>
      <c r="G535" s="987">
        <v>1.2414485727506445E-3</v>
      </c>
      <c r="H535" s="986">
        <f>IF(H193=0,100,H193/H193*100)</f>
        <v>100</v>
      </c>
      <c r="I535" s="986">
        <f t="shared" ref="I535:AF535" si="228">IF(I193=0,100,I193/H193*H535)</f>
        <v>100</v>
      </c>
      <c r="J535" s="986">
        <f t="shared" si="228"/>
        <v>100</v>
      </c>
      <c r="K535" s="986">
        <f t="shared" si="228"/>
        <v>100</v>
      </c>
      <c r="L535" s="986">
        <f t="shared" si="228"/>
        <v>100</v>
      </c>
      <c r="M535" s="986">
        <f t="shared" si="228"/>
        <v>100</v>
      </c>
      <c r="N535" s="986">
        <f t="shared" si="228"/>
        <v>100</v>
      </c>
      <c r="O535" s="986">
        <f t="shared" si="228"/>
        <v>100</v>
      </c>
      <c r="P535" s="986">
        <f t="shared" si="228"/>
        <v>100</v>
      </c>
      <c r="Q535" s="986">
        <f t="shared" si="228"/>
        <v>100</v>
      </c>
      <c r="R535" s="986">
        <f t="shared" si="228"/>
        <v>100</v>
      </c>
      <c r="S535" s="986">
        <f t="shared" si="228"/>
        <v>100</v>
      </c>
      <c r="T535" s="986">
        <f t="shared" si="228"/>
        <v>100</v>
      </c>
      <c r="U535" s="986">
        <f t="shared" si="228"/>
        <v>103.2258064516129</v>
      </c>
      <c r="V535" s="986">
        <f t="shared" si="228"/>
        <v>103.2258064516129</v>
      </c>
      <c r="W535" s="986">
        <f t="shared" si="228"/>
        <v>103.2258064516129</v>
      </c>
      <c r="X535" s="986">
        <f t="shared" si="228"/>
        <v>103.2258064516129</v>
      </c>
      <c r="Y535" s="986">
        <f t="shared" si="228"/>
        <v>103.2258064516129</v>
      </c>
      <c r="Z535" s="986">
        <f t="shared" si="228"/>
        <v>103.2258064516129</v>
      </c>
      <c r="AA535" s="986">
        <f t="shared" si="228"/>
        <v>103.2258064516129</v>
      </c>
      <c r="AB535" s="986">
        <f t="shared" si="228"/>
        <v>103.2258064516129</v>
      </c>
      <c r="AC535" s="986">
        <f t="shared" si="228"/>
        <v>103.2258064516129</v>
      </c>
      <c r="AD535" s="986">
        <f t="shared" si="228"/>
        <v>106.45161290322579</v>
      </c>
      <c r="AE535" s="986">
        <f t="shared" si="228"/>
        <v>120.96774193548387</v>
      </c>
      <c r="AF535" s="986">
        <f t="shared" si="228"/>
        <v>120.96774193548387</v>
      </c>
    </row>
    <row r="536" spans="1:32" s="1010" customFormat="1" outlineLevel="4">
      <c r="A536" s="999"/>
      <c r="B536" s="999"/>
      <c r="C536" s="999"/>
      <c r="D536" s="1015">
        <f>+D535+1</f>
        <v>136</v>
      </c>
      <c r="E536" s="1014" t="s">
        <v>1864</v>
      </c>
      <c r="F536" s="988">
        <f>+'[11]7'!$P$116</f>
        <v>14277.430000000002</v>
      </c>
      <c r="G536" s="987">
        <v>2.8831247559307086E-3</v>
      </c>
      <c r="H536" s="986">
        <f>IF(H194=0,100,H194/H194*100)</f>
        <v>100</v>
      </c>
      <c r="I536" s="986">
        <f t="shared" ref="I536:AF536" si="229">IF(I194=0,100,I194/H194*H536)</f>
        <v>100</v>
      </c>
      <c r="J536" s="986">
        <f t="shared" si="229"/>
        <v>100</v>
      </c>
      <c r="K536" s="986">
        <f t="shared" si="229"/>
        <v>100</v>
      </c>
      <c r="L536" s="986">
        <f t="shared" si="229"/>
        <v>113.51351351351352</v>
      </c>
      <c r="M536" s="986">
        <f t="shared" si="229"/>
        <v>113.51351351351352</v>
      </c>
      <c r="N536" s="986">
        <f t="shared" si="229"/>
        <v>113.51351351351352</v>
      </c>
      <c r="O536" s="986">
        <f t="shared" si="229"/>
        <v>113.51351351351352</v>
      </c>
      <c r="P536" s="986">
        <f t="shared" si="229"/>
        <v>113.51351351351352</v>
      </c>
      <c r="Q536" s="986">
        <f t="shared" si="229"/>
        <v>113.51351351351352</v>
      </c>
      <c r="R536" s="986">
        <f t="shared" si="229"/>
        <v>113.51351351351352</v>
      </c>
      <c r="S536" s="986">
        <f t="shared" si="229"/>
        <v>113.51351351351352</v>
      </c>
      <c r="T536" s="986">
        <f t="shared" si="229"/>
        <v>124.32432432432434</v>
      </c>
      <c r="U536" s="986">
        <f t="shared" si="229"/>
        <v>124.32432432432434</v>
      </c>
      <c r="V536" s="986">
        <f t="shared" si="229"/>
        <v>135.13513513513513</v>
      </c>
      <c r="W536" s="986">
        <f t="shared" si="229"/>
        <v>135.13513513513513</v>
      </c>
      <c r="X536" s="986">
        <f t="shared" si="229"/>
        <v>140.54054054054055</v>
      </c>
      <c r="Y536" s="986">
        <f t="shared" si="229"/>
        <v>140.54054054054055</v>
      </c>
      <c r="Z536" s="986">
        <f t="shared" si="229"/>
        <v>151.35135135135135</v>
      </c>
      <c r="AA536" s="986">
        <f t="shared" si="229"/>
        <v>151.35135135135135</v>
      </c>
      <c r="AB536" s="986">
        <f t="shared" si="229"/>
        <v>151.35135135135135</v>
      </c>
      <c r="AC536" s="986">
        <f t="shared" si="229"/>
        <v>151.35135135135135</v>
      </c>
      <c r="AD536" s="986">
        <f t="shared" si="229"/>
        <v>151.35135135135135</v>
      </c>
      <c r="AE536" s="986">
        <f t="shared" si="229"/>
        <v>151.35135135135135</v>
      </c>
      <c r="AF536" s="986">
        <f t="shared" si="229"/>
        <v>151.35135135135135</v>
      </c>
    </row>
    <row r="537" spans="1:32" outlineLevel="4">
      <c r="A537" s="999"/>
      <c r="B537" s="999"/>
      <c r="C537" s="999"/>
      <c r="D537" s="1015">
        <f>+D536+1</f>
        <v>137</v>
      </c>
      <c r="E537" s="1014" t="s">
        <v>1863</v>
      </c>
      <c r="F537" s="988">
        <f>+'[11]7'!$P$118+'[11]7'!$P$119+'[11]7'!$P$104</f>
        <v>11812.214118</v>
      </c>
      <c r="G537" s="987">
        <v>2.3853093270959839E-3</v>
      </c>
      <c r="H537" s="986">
        <f>IF(H195=0,100,H195/H195*100)</f>
        <v>100</v>
      </c>
      <c r="I537" s="986">
        <f t="shared" ref="I537:AF537" si="230">IF(I195=0,100,I195/H195*H537)</f>
        <v>100</v>
      </c>
      <c r="J537" s="986">
        <f t="shared" si="230"/>
        <v>100</v>
      </c>
      <c r="K537" s="986">
        <f t="shared" si="230"/>
        <v>100</v>
      </c>
      <c r="L537" s="986">
        <f t="shared" si="230"/>
        <v>96</v>
      </c>
      <c r="M537" s="986">
        <f t="shared" si="230"/>
        <v>96</v>
      </c>
      <c r="N537" s="986">
        <f t="shared" si="230"/>
        <v>96</v>
      </c>
      <c r="O537" s="986">
        <f t="shared" si="230"/>
        <v>96</v>
      </c>
      <c r="P537" s="986">
        <f t="shared" si="230"/>
        <v>98</v>
      </c>
      <c r="Q537" s="986">
        <f t="shared" si="230"/>
        <v>98</v>
      </c>
      <c r="R537" s="986">
        <f t="shared" si="230"/>
        <v>98</v>
      </c>
      <c r="S537" s="986">
        <f t="shared" si="230"/>
        <v>98</v>
      </c>
      <c r="T537" s="986">
        <f t="shared" si="230"/>
        <v>98</v>
      </c>
      <c r="U537" s="986">
        <f t="shared" si="230"/>
        <v>100</v>
      </c>
      <c r="V537" s="986">
        <f t="shared" si="230"/>
        <v>100</v>
      </c>
      <c r="W537" s="986">
        <f t="shared" si="230"/>
        <v>100</v>
      </c>
      <c r="X537" s="986">
        <f t="shared" si="230"/>
        <v>100</v>
      </c>
      <c r="Y537" s="986">
        <f t="shared" si="230"/>
        <v>100</v>
      </c>
      <c r="Z537" s="986">
        <f t="shared" si="230"/>
        <v>100</v>
      </c>
      <c r="AA537" s="986">
        <f t="shared" si="230"/>
        <v>100</v>
      </c>
      <c r="AB537" s="986">
        <f t="shared" si="230"/>
        <v>100</v>
      </c>
      <c r="AC537" s="986">
        <f t="shared" si="230"/>
        <v>100</v>
      </c>
      <c r="AD537" s="986">
        <f t="shared" si="230"/>
        <v>100</v>
      </c>
      <c r="AE537" s="986">
        <f t="shared" si="230"/>
        <v>106</v>
      </c>
      <c r="AF537" s="986">
        <f t="shared" si="230"/>
        <v>106</v>
      </c>
    </row>
    <row r="538" spans="1:32" ht="14.25" customHeight="1" outlineLevel="2">
      <c r="A538" s="999"/>
      <c r="B538" s="1955" t="s">
        <v>1862</v>
      </c>
      <c r="C538" s="1955"/>
      <c r="D538" s="1955"/>
      <c r="E538" s="1955"/>
      <c r="F538" s="1020">
        <f>+F539</f>
        <v>33592.94601</v>
      </c>
      <c r="G538" s="1019">
        <v>6.7836196196426612E-3</v>
      </c>
      <c r="H538" s="1018">
        <f t="shared" ref="H538:AF538" si="231">+$G$539*H539/$G$538</f>
        <v>99.999999999999986</v>
      </c>
      <c r="I538" s="1018">
        <f t="shared" si="231"/>
        <v>99.999999999999986</v>
      </c>
      <c r="J538" s="1018">
        <f t="shared" si="231"/>
        <v>99.999999999999986</v>
      </c>
      <c r="K538" s="1018">
        <f t="shared" si="231"/>
        <v>99.999999999999986</v>
      </c>
      <c r="L538" s="1018">
        <f t="shared" si="231"/>
        <v>100.4530226002051</v>
      </c>
      <c r="M538" s="1018">
        <f t="shared" si="231"/>
        <v>100.4530226002051</v>
      </c>
      <c r="N538" s="1018">
        <f t="shared" si="231"/>
        <v>100.4530226002051</v>
      </c>
      <c r="O538" s="1018">
        <f t="shared" si="231"/>
        <v>101.52368419090894</v>
      </c>
      <c r="P538" s="1018">
        <f t="shared" si="231"/>
        <v>103.33577459172936</v>
      </c>
      <c r="Q538" s="1018">
        <f t="shared" si="231"/>
        <v>103.33577459172936</v>
      </c>
      <c r="R538" s="1018">
        <f t="shared" si="231"/>
        <v>103.33577459172936</v>
      </c>
      <c r="S538" s="1018">
        <f t="shared" si="231"/>
        <v>103.33577459172936</v>
      </c>
      <c r="T538" s="1018">
        <f t="shared" si="231"/>
        <v>103.33577459172936</v>
      </c>
      <c r="U538" s="1018">
        <f t="shared" si="231"/>
        <v>105.3620673741711</v>
      </c>
      <c r="V538" s="1018">
        <f t="shared" si="231"/>
        <v>110.71537532769024</v>
      </c>
      <c r="W538" s="1018">
        <f t="shared" si="231"/>
        <v>113.06775869674944</v>
      </c>
      <c r="X538" s="1018">
        <f t="shared" si="231"/>
        <v>116.2797434688609</v>
      </c>
      <c r="Y538" s="1018">
        <f t="shared" si="231"/>
        <v>116.2797434688609</v>
      </c>
      <c r="Z538" s="1018">
        <f t="shared" si="231"/>
        <v>119.25268978201041</v>
      </c>
      <c r="AA538" s="1018">
        <f t="shared" si="231"/>
        <v>119.25268978201041</v>
      </c>
      <c r="AB538" s="1018">
        <f t="shared" si="231"/>
        <v>119.3427386100502</v>
      </c>
      <c r="AC538" s="1018">
        <f t="shared" si="231"/>
        <v>119.3427386100502</v>
      </c>
      <c r="AD538" s="1018">
        <f t="shared" si="231"/>
        <v>119.70293392220938</v>
      </c>
      <c r="AE538" s="1018">
        <f t="shared" si="231"/>
        <v>119.34957733853874</v>
      </c>
      <c r="AF538" s="1018">
        <f t="shared" si="231"/>
        <v>119.34957733853874</v>
      </c>
    </row>
    <row r="539" spans="1:32" s="1010" customFormat="1" ht="14.25" customHeight="1" outlineLevel="3">
      <c r="A539" s="999"/>
      <c r="B539" s="999"/>
      <c r="C539" s="1957" t="s">
        <v>1861</v>
      </c>
      <c r="D539" s="1957"/>
      <c r="E539" s="1957"/>
      <c r="F539" s="998">
        <f>SUM(F540:F543)</f>
        <v>33592.94601</v>
      </c>
      <c r="G539" s="997">
        <v>6.7836196196426612E-3</v>
      </c>
      <c r="H539" s="996">
        <f t="shared" ref="H539:AF539" si="232">+SUMPRODUCT(H540:H543,$G540:$G543)/$G539</f>
        <v>99.999999999999986</v>
      </c>
      <c r="I539" s="996">
        <f t="shared" si="232"/>
        <v>99.999999999999986</v>
      </c>
      <c r="J539" s="996">
        <f t="shared" si="232"/>
        <v>99.999999999999986</v>
      </c>
      <c r="K539" s="996">
        <f t="shared" si="232"/>
        <v>99.999999999999986</v>
      </c>
      <c r="L539" s="996">
        <f t="shared" si="232"/>
        <v>100.4530226002051</v>
      </c>
      <c r="M539" s="996">
        <f t="shared" si="232"/>
        <v>100.4530226002051</v>
      </c>
      <c r="N539" s="996">
        <f t="shared" si="232"/>
        <v>100.4530226002051</v>
      </c>
      <c r="O539" s="996">
        <f t="shared" si="232"/>
        <v>101.52368419090894</v>
      </c>
      <c r="P539" s="996">
        <f t="shared" si="232"/>
        <v>103.33577459172936</v>
      </c>
      <c r="Q539" s="996">
        <f t="shared" si="232"/>
        <v>103.33577459172936</v>
      </c>
      <c r="R539" s="996">
        <f t="shared" si="232"/>
        <v>103.33577459172936</v>
      </c>
      <c r="S539" s="996">
        <f t="shared" si="232"/>
        <v>103.33577459172936</v>
      </c>
      <c r="T539" s="996">
        <f t="shared" si="232"/>
        <v>103.33577459172936</v>
      </c>
      <c r="U539" s="996">
        <f t="shared" si="232"/>
        <v>105.3620673741711</v>
      </c>
      <c r="V539" s="996">
        <f t="shared" si="232"/>
        <v>110.71537532769024</v>
      </c>
      <c r="W539" s="996">
        <f t="shared" si="232"/>
        <v>113.06775869674944</v>
      </c>
      <c r="X539" s="996">
        <f t="shared" si="232"/>
        <v>116.2797434688609</v>
      </c>
      <c r="Y539" s="996">
        <f t="shared" si="232"/>
        <v>116.2797434688609</v>
      </c>
      <c r="Z539" s="996">
        <f t="shared" si="232"/>
        <v>119.25268978201041</v>
      </c>
      <c r="AA539" s="996">
        <f t="shared" si="232"/>
        <v>119.25268978201041</v>
      </c>
      <c r="AB539" s="996">
        <f t="shared" si="232"/>
        <v>119.3427386100502</v>
      </c>
      <c r="AC539" s="996">
        <f t="shared" si="232"/>
        <v>119.3427386100502</v>
      </c>
      <c r="AD539" s="996">
        <f t="shared" si="232"/>
        <v>119.70293392220938</v>
      </c>
      <c r="AE539" s="996">
        <f t="shared" si="232"/>
        <v>119.34957733853874</v>
      </c>
      <c r="AF539" s="996">
        <f t="shared" si="232"/>
        <v>119.34957733853874</v>
      </c>
    </row>
    <row r="540" spans="1:32" s="1010" customFormat="1" outlineLevel="4">
      <c r="A540" s="999"/>
      <c r="B540" s="999"/>
      <c r="C540" s="999"/>
      <c r="D540" s="1017">
        <f>+D537+1</f>
        <v>138</v>
      </c>
      <c r="E540" s="1014" t="s">
        <v>1860</v>
      </c>
      <c r="F540" s="988">
        <f>+'[11]7'!$P$123</f>
        <v>15645.504500000001</v>
      </c>
      <c r="G540" s="987">
        <v>3.1593880231228799E-3</v>
      </c>
      <c r="H540" s="986">
        <f>IF(H198=0,100,H198/H198*100)</f>
        <v>100</v>
      </c>
      <c r="I540" s="986">
        <f t="shared" ref="I540:AF540" si="233">IF(I198=0,100,I198/H198*H540)</f>
        <v>100</v>
      </c>
      <c r="J540" s="986">
        <f t="shared" si="233"/>
        <v>100</v>
      </c>
      <c r="K540" s="986">
        <f t="shared" si="233"/>
        <v>100</v>
      </c>
      <c r="L540" s="986">
        <f t="shared" si="233"/>
        <v>100</v>
      </c>
      <c r="M540" s="986">
        <f t="shared" si="233"/>
        <v>100</v>
      </c>
      <c r="N540" s="986">
        <f t="shared" si="233"/>
        <v>100</v>
      </c>
      <c r="O540" s="986">
        <f t="shared" si="233"/>
        <v>102.29885057471265</v>
      </c>
      <c r="P540" s="986">
        <f t="shared" si="233"/>
        <v>102.29885057471265</v>
      </c>
      <c r="Q540" s="986">
        <f t="shared" si="233"/>
        <v>102.29885057471265</v>
      </c>
      <c r="R540" s="986">
        <f t="shared" si="233"/>
        <v>102.29885057471265</v>
      </c>
      <c r="S540" s="986">
        <f t="shared" si="233"/>
        <v>102.29885057471265</v>
      </c>
      <c r="T540" s="986">
        <f t="shared" si="233"/>
        <v>102.29885057471265</v>
      </c>
      <c r="U540" s="986">
        <f t="shared" si="233"/>
        <v>103.44827586206897</v>
      </c>
      <c r="V540" s="986">
        <f t="shared" si="233"/>
        <v>114.94252873563219</v>
      </c>
      <c r="W540" s="986">
        <f t="shared" si="233"/>
        <v>114.94252873563219</v>
      </c>
      <c r="X540" s="986">
        <f t="shared" si="233"/>
        <v>121.83908045977013</v>
      </c>
      <c r="Y540" s="986">
        <f t="shared" si="233"/>
        <v>121.83908045977013</v>
      </c>
      <c r="Z540" s="986">
        <f t="shared" si="233"/>
        <v>126.43678160919542</v>
      </c>
      <c r="AA540" s="986">
        <f t="shared" si="233"/>
        <v>126.43678160919542</v>
      </c>
      <c r="AB540" s="986">
        <f t="shared" si="233"/>
        <v>126.43678160919542</v>
      </c>
      <c r="AC540" s="986">
        <f t="shared" si="233"/>
        <v>126.43678160919542</v>
      </c>
      <c r="AD540" s="986">
        <f t="shared" si="233"/>
        <v>126.43678160919542</v>
      </c>
      <c r="AE540" s="986">
        <f t="shared" si="233"/>
        <v>125.6704980842912</v>
      </c>
      <c r="AF540" s="986">
        <f t="shared" si="233"/>
        <v>125.6704980842912</v>
      </c>
    </row>
    <row r="541" spans="1:32" s="1010" customFormat="1" outlineLevel="4">
      <c r="A541" s="999"/>
      <c r="B541" s="999"/>
      <c r="C541" s="999"/>
      <c r="D541" s="1017">
        <f>+D540+1</f>
        <v>139</v>
      </c>
      <c r="E541" s="1014" t="s">
        <v>1859</v>
      </c>
      <c r="F541" s="988">
        <f>+'[11]7'!$P$125+'[11]7'!$P$124</f>
        <v>7304.8145999999997</v>
      </c>
      <c r="G541" s="987">
        <v>1.4751038394685929E-3</v>
      </c>
      <c r="H541" s="986">
        <f>IF(H199=0,100,H199/H199*100)</f>
        <v>100</v>
      </c>
      <c r="I541" s="986">
        <f t="shared" ref="I541:AF541" si="234">IF(I199=0,100,I199/H199*H541)</f>
        <v>100</v>
      </c>
      <c r="J541" s="986">
        <f t="shared" si="234"/>
        <v>100</v>
      </c>
      <c r="K541" s="986">
        <f t="shared" si="234"/>
        <v>100</v>
      </c>
      <c r="L541" s="986">
        <f t="shared" si="234"/>
        <v>102.08333333333333</v>
      </c>
      <c r="M541" s="986">
        <f t="shared" si="234"/>
        <v>102.08333333333333</v>
      </c>
      <c r="N541" s="986">
        <f t="shared" si="234"/>
        <v>102.08333333333333</v>
      </c>
      <c r="O541" s="986">
        <f t="shared" si="234"/>
        <v>102.08333333333333</v>
      </c>
      <c r="P541" s="986">
        <f t="shared" si="234"/>
        <v>110.41666666666667</v>
      </c>
      <c r="Q541" s="986">
        <f t="shared" si="234"/>
        <v>110.41666666666667</v>
      </c>
      <c r="R541" s="986">
        <f t="shared" si="234"/>
        <v>110.41666666666667</v>
      </c>
      <c r="S541" s="986">
        <f t="shared" si="234"/>
        <v>110.41666666666667</v>
      </c>
      <c r="T541" s="986">
        <f t="shared" si="234"/>
        <v>110.41666666666667</v>
      </c>
      <c r="U541" s="986">
        <f t="shared" si="234"/>
        <v>108.33333333333334</v>
      </c>
      <c r="V541" s="986">
        <f t="shared" si="234"/>
        <v>108.33333333333334</v>
      </c>
      <c r="W541" s="986">
        <f t="shared" si="234"/>
        <v>116.66666666666667</v>
      </c>
      <c r="X541" s="986">
        <f t="shared" si="234"/>
        <v>116.66666666666667</v>
      </c>
      <c r="Y541" s="986">
        <f t="shared" si="234"/>
        <v>116.66666666666667</v>
      </c>
      <c r="Z541" s="986">
        <f t="shared" si="234"/>
        <v>116.66666666666667</v>
      </c>
      <c r="AA541" s="986">
        <f t="shared" si="234"/>
        <v>116.66666666666667</v>
      </c>
      <c r="AB541" s="986">
        <f t="shared" si="234"/>
        <v>116.66666666666667</v>
      </c>
      <c r="AC541" s="986">
        <f t="shared" si="234"/>
        <v>116.66666666666667</v>
      </c>
      <c r="AD541" s="986">
        <f t="shared" si="234"/>
        <v>116.66666666666667</v>
      </c>
      <c r="AE541" s="986">
        <f t="shared" si="234"/>
        <v>116.66666666666667</v>
      </c>
      <c r="AF541" s="986">
        <f t="shared" si="234"/>
        <v>116.66666666666667</v>
      </c>
    </row>
    <row r="542" spans="1:32" s="1010" customFormat="1" outlineLevel="4">
      <c r="A542" s="999"/>
      <c r="B542" s="999"/>
      <c r="C542" s="999"/>
      <c r="D542" s="1017">
        <f>+D541+1</f>
        <v>140</v>
      </c>
      <c r="E542" s="1014" t="s">
        <v>1858</v>
      </c>
      <c r="F542" s="988">
        <f>+'[11]7'!$P$131+'[11]7'!$P$126+'[11]7'!$P$174</f>
        <v>1300.7523299999998</v>
      </c>
      <c r="G542" s="987">
        <v>2.6266850854513377E-4</v>
      </c>
      <c r="H542" s="986">
        <f>IF(H200=0,100,H200/H200*100)</f>
        <v>100</v>
      </c>
      <c r="I542" s="986">
        <f t="shared" ref="I542:AF542" si="235">IF(I200=0,100,I200/H200*H542)</f>
        <v>100</v>
      </c>
      <c r="J542" s="986">
        <f t="shared" si="235"/>
        <v>100</v>
      </c>
      <c r="K542" s="986">
        <f t="shared" si="235"/>
        <v>100</v>
      </c>
      <c r="L542" s="986">
        <f t="shared" si="235"/>
        <v>100</v>
      </c>
      <c r="M542" s="986">
        <f t="shared" si="235"/>
        <v>100</v>
      </c>
      <c r="N542" s="986">
        <f t="shared" si="235"/>
        <v>100</v>
      </c>
      <c r="O542" s="986">
        <f t="shared" si="235"/>
        <v>100</v>
      </c>
      <c r="P542" s="986">
        <f t="shared" si="235"/>
        <v>100</v>
      </c>
      <c r="Q542" s="986">
        <f t="shared" si="235"/>
        <v>100</v>
      </c>
      <c r="R542" s="986">
        <f t="shared" si="235"/>
        <v>100</v>
      </c>
      <c r="S542" s="986">
        <f t="shared" si="235"/>
        <v>100</v>
      </c>
      <c r="T542" s="986">
        <f t="shared" si="235"/>
        <v>100</v>
      </c>
      <c r="U542" s="986">
        <f t="shared" si="235"/>
        <v>102.32558139534885</v>
      </c>
      <c r="V542" s="986">
        <f t="shared" si="235"/>
        <v>102.32558139534885</v>
      </c>
      <c r="W542" s="986">
        <f t="shared" si="235"/>
        <v>116.27906976744188</v>
      </c>
      <c r="X542" s="986">
        <f t="shared" si="235"/>
        <v>116.27906976744188</v>
      </c>
      <c r="Y542" s="986">
        <f t="shared" si="235"/>
        <v>116.27906976744188</v>
      </c>
      <c r="Z542" s="986">
        <f t="shared" si="235"/>
        <v>118.60465116279072</v>
      </c>
      <c r="AA542" s="986">
        <f t="shared" si="235"/>
        <v>118.60465116279072</v>
      </c>
      <c r="AB542" s="986">
        <f t="shared" si="235"/>
        <v>120.93023255813955</v>
      </c>
      <c r="AC542" s="986">
        <f t="shared" si="235"/>
        <v>120.93023255813955</v>
      </c>
      <c r="AD542" s="986">
        <f t="shared" si="235"/>
        <v>130.23255813953489</v>
      </c>
      <c r="AE542" s="986">
        <f t="shared" si="235"/>
        <v>127.13178294573643</v>
      </c>
      <c r="AF542" s="986">
        <f t="shared" si="235"/>
        <v>127.13178294573643</v>
      </c>
    </row>
    <row r="543" spans="1:32" outlineLevel="4">
      <c r="A543" s="999"/>
      <c r="B543" s="999"/>
      <c r="C543" s="999"/>
      <c r="D543" s="1017">
        <f>+D542+1</f>
        <v>141</v>
      </c>
      <c r="E543" s="1012" t="s">
        <v>1857</v>
      </c>
      <c r="F543" s="988">
        <f>+'[11]7'!$P$127+'[11]7'!$P$128+'[11]7'!$P$129+'[11]7'!$P$132+'[11]7'!$P$130+'[11]7'!$P$134+'[11]7'!$P$135</f>
        <v>9341.8745800000015</v>
      </c>
      <c r="G543" s="987">
        <v>1.8864592485060541E-3</v>
      </c>
      <c r="H543" s="986">
        <f>IF(H201=0,100,H201/H201*100)</f>
        <v>100</v>
      </c>
      <c r="I543" s="986">
        <f t="shared" ref="I543:AF543" si="236">IF(I201=0,100,I201/H201*H543)</f>
        <v>100</v>
      </c>
      <c r="J543" s="986">
        <f t="shared" si="236"/>
        <v>100</v>
      </c>
      <c r="K543" s="986">
        <f t="shared" si="236"/>
        <v>100</v>
      </c>
      <c r="L543" s="986">
        <f t="shared" si="236"/>
        <v>100</v>
      </c>
      <c r="M543" s="986">
        <f t="shared" si="236"/>
        <v>100</v>
      </c>
      <c r="N543" s="986">
        <f t="shared" si="236"/>
        <v>100</v>
      </c>
      <c r="O543" s="986">
        <f t="shared" si="236"/>
        <v>100</v>
      </c>
      <c r="P543" s="986">
        <f t="shared" si="236"/>
        <v>100</v>
      </c>
      <c r="Q543" s="986">
        <f t="shared" si="236"/>
        <v>100</v>
      </c>
      <c r="R543" s="986">
        <f t="shared" si="236"/>
        <v>100</v>
      </c>
      <c r="S543" s="986">
        <f t="shared" si="236"/>
        <v>100</v>
      </c>
      <c r="T543" s="986">
        <f t="shared" si="236"/>
        <v>100</v>
      </c>
      <c r="U543" s="986">
        <f t="shared" si="236"/>
        <v>106.66666666666667</v>
      </c>
      <c r="V543" s="986">
        <f t="shared" si="236"/>
        <v>106.66666666666667</v>
      </c>
      <c r="W543" s="986">
        <f t="shared" si="236"/>
        <v>106.66666666666667</v>
      </c>
      <c r="X543" s="986">
        <f t="shared" si="236"/>
        <v>106.66666666666667</v>
      </c>
      <c r="Y543" s="986">
        <f t="shared" si="236"/>
        <v>106.66666666666667</v>
      </c>
      <c r="Z543" s="986">
        <f t="shared" si="236"/>
        <v>109.33333333333333</v>
      </c>
      <c r="AA543" s="986">
        <f t="shared" si="236"/>
        <v>109.33333333333333</v>
      </c>
      <c r="AB543" s="986">
        <f t="shared" si="236"/>
        <v>109.33333333333333</v>
      </c>
      <c r="AC543" s="986">
        <f t="shared" si="236"/>
        <v>109.33333333333333</v>
      </c>
      <c r="AD543" s="986">
        <f t="shared" si="236"/>
        <v>109.33333333333333</v>
      </c>
      <c r="AE543" s="986">
        <f t="shared" si="236"/>
        <v>109.77777777777776</v>
      </c>
      <c r="AF543" s="986">
        <f t="shared" si="236"/>
        <v>109.77777777777776</v>
      </c>
    </row>
    <row r="544" spans="1:32" outlineLevel="2">
      <c r="A544" s="999"/>
      <c r="B544" s="1955" t="s">
        <v>1856</v>
      </c>
      <c r="C544" s="1955"/>
      <c r="D544" s="1955"/>
      <c r="E544" s="1955"/>
      <c r="F544" s="1020">
        <f>+F545</f>
        <v>21998.285943000003</v>
      </c>
      <c r="G544" s="1019">
        <v>4.4422422516031106E-3</v>
      </c>
      <c r="H544" s="1018">
        <f t="shared" ref="H544:AF544" si="237">+$G$545*H545/$G$544</f>
        <v>100</v>
      </c>
      <c r="I544" s="1018">
        <f t="shared" si="237"/>
        <v>100</v>
      </c>
      <c r="J544" s="1018">
        <f t="shared" si="237"/>
        <v>100</v>
      </c>
      <c r="K544" s="1018">
        <f t="shared" si="237"/>
        <v>100</v>
      </c>
      <c r="L544" s="1018">
        <f t="shared" si="237"/>
        <v>101.38668797101016</v>
      </c>
      <c r="M544" s="1018">
        <f t="shared" si="237"/>
        <v>101.38668797101016</v>
      </c>
      <c r="N544" s="1018">
        <f t="shared" si="237"/>
        <v>101.38668797101016</v>
      </c>
      <c r="O544" s="1018">
        <f t="shared" si="237"/>
        <v>101.38668797101016</v>
      </c>
      <c r="P544" s="1018">
        <f t="shared" si="237"/>
        <v>101.38668797101016</v>
      </c>
      <c r="Q544" s="1018">
        <f t="shared" si="237"/>
        <v>101.38668797101016</v>
      </c>
      <c r="R544" s="1018">
        <f t="shared" si="237"/>
        <v>101.38668797101016</v>
      </c>
      <c r="S544" s="1018">
        <f t="shared" si="237"/>
        <v>101.38668797101016</v>
      </c>
      <c r="T544" s="1018">
        <f t="shared" si="237"/>
        <v>106.76414881239188</v>
      </c>
      <c r="U544" s="1018">
        <f t="shared" si="237"/>
        <v>111.7358106776565</v>
      </c>
      <c r="V544" s="1018">
        <f t="shared" si="237"/>
        <v>114.30914533757864</v>
      </c>
      <c r="W544" s="1018">
        <f t="shared" si="237"/>
        <v>117.8941192318331</v>
      </c>
      <c r="X544" s="1018">
        <f t="shared" si="237"/>
        <v>122.03726492976729</v>
      </c>
      <c r="Y544" s="1018">
        <f t="shared" si="237"/>
        <v>124.05242778600972</v>
      </c>
      <c r="Z544" s="1018">
        <f t="shared" si="237"/>
        <v>128.75780309383472</v>
      </c>
      <c r="AA544" s="1018">
        <f t="shared" si="237"/>
        <v>128.75780309383472</v>
      </c>
      <c r="AB544" s="1018">
        <f t="shared" si="237"/>
        <v>128.75780309383472</v>
      </c>
      <c r="AC544" s="1018">
        <f t="shared" si="237"/>
        <v>128.75780309383472</v>
      </c>
      <c r="AD544" s="1018">
        <f t="shared" si="237"/>
        <v>129.31800380062</v>
      </c>
      <c r="AE544" s="1018">
        <f t="shared" si="237"/>
        <v>129.31800380062</v>
      </c>
      <c r="AF544" s="1018">
        <f t="shared" si="237"/>
        <v>131.83695737092305</v>
      </c>
    </row>
    <row r="545" spans="1:32" s="1010" customFormat="1" outlineLevel="3">
      <c r="A545" s="999"/>
      <c r="B545" s="999"/>
      <c r="C545" s="1956" t="s">
        <v>1855</v>
      </c>
      <c r="D545" s="1956"/>
      <c r="E545" s="1956"/>
      <c r="F545" s="998">
        <f>SUM(F546:F549)</f>
        <v>21998.285943000003</v>
      </c>
      <c r="G545" s="997">
        <v>4.4422422516031106E-3</v>
      </c>
      <c r="H545" s="996">
        <f t="shared" ref="H545:AF545" si="238">+SUMPRODUCT(H546:H549,$G546:$G549)/$G545</f>
        <v>100</v>
      </c>
      <c r="I545" s="996">
        <f t="shared" si="238"/>
        <v>100</v>
      </c>
      <c r="J545" s="996">
        <f t="shared" si="238"/>
        <v>100</v>
      </c>
      <c r="K545" s="996">
        <f t="shared" si="238"/>
        <v>100</v>
      </c>
      <c r="L545" s="996">
        <f t="shared" si="238"/>
        <v>101.38668797101016</v>
      </c>
      <c r="M545" s="996">
        <f t="shared" si="238"/>
        <v>101.38668797101016</v>
      </c>
      <c r="N545" s="996">
        <f t="shared" si="238"/>
        <v>101.38668797101016</v>
      </c>
      <c r="O545" s="996">
        <f t="shared" si="238"/>
        <v>101.38668797101016</v>
      </c>
      <c r="P545" s="996">
        <f t="shared" si="238"/>
        <v>101.38668797101016</v>
      </c>
      <c r="Q545" s="996">
        <f t="shared" si="238"/>
        <v>101.38668797101016</v>
      </c>
      <c r="R545" s="996">
        <f t="shared" si="238"/>
        <v>101.38668797101016</v>
      </c>
      <c r="S545" s="996">
        <f t="shared" si="238"/>
        <v>101.38668797101016</v>
      </c>
      <c r="T545" s="996">
        <f t="shared" si="238"/>
        <v>106.76414881239188</v>
      </c>
      <c r="U545" s="996">
        <f t="shared" si="238"/>
        <v>111.7358106776565</v>
      </c>
      <c r="V545" s="996">
        <f t="shared" si="238"/>
        <v>114.30914533757864</v>
      </c>
      <c r="W545" s="996">
        <f t="shared" si="238"/>
        <v>117.8941192318331</v>
      </c>
      <c r="X545" s="996">
        <f t="shared" si="238"/>
        <v>122.03726492976729</v>
      </c>
      <c r="Y545" s="996">
        <f t="shared" si="238"/>
        <v>124.05242778600972</v>
      </c>
      <c r="Z545" s="996">
        <f t="shared" si="238"/>
        <v>128.75780309383472</v>
      </c>
      <c r="AA545" s="996">
        <f t="shared" si="238"/>
        <v>128.75780309383472</v>
      </c>
      <c r="AB545" s="996">
        <f t="shared" si="238"/>
        <v>128.75780309383472</v>
      </c>
      <c r="AC545" s="996">
        <f t="shared" si="238"/>
        <v>128.75780309383472</v>
      </c>
      <c r="AD545" s="996">
        <f t="shared" si="238"/>
        <v>129.31800380062</v>
      </c>
      <c r="AE545" s="996">
        <f t="shared" si="238"/>
        <v>129.31800380062</v>
      </c>
      <c r="AF545" s="996">
        <f t="shared" si="238"/>
        <v>131.83695737092305</v>
      </c>
    </row>
    <row r="546" spans="1:32" s="1010" customFormat="1" outlineLevel="4">
      <c r="A546" s="999"/>
      <c r="B546" s="999"/>
      <c r="C546" s="999"/>
      <c r="D546" s="1015">
        <f>+D543+1</f>
        <v>142</v>
      </c>
      <c r="E546" s="1014" t="s">
        <v>1854</v>
      </c>
      <c r="F546" s="988">
        <f>+'[11]7'!$P$139+'[11]7'!$P$140+'[11]7'!$P$136+'[11]7'!$P$141</f>
        <v>3272.6345700000002</v>
      </c>
      <c r="G546" s="987">
        <v>6.6086219619929142E-4</v>
      </c>
      <c r="H546" s="986">
        <f>IF(H204=0,100,H204/H204*100)</f>
        <v>100</v>
      </c>
      <c r="I546" s="986">
        <f t="shared" ref="I546:AF546" si="239">IF(I204=0,100,I204/H204*H546)</f>
        <v>100</v>
      </c>
      <c r="J546" s="986">
        <f t="shared" si="239"/>
        <v>100</v>
      </c>
      <c r="K546" s="986">
        <f t="shared" si="239"/>
        <v>100</v>
      </c>
      <c r="L546" s="986">
        <f t="shared" si="239"/>
        <v>105.55555555555556</v>
      </c>
      <c r="M546" s="986">
        <f t="shared" si="239"/>
        <v>105.55555555555556</v>
      </c>
      <c r="N546" s="986">
        <f t="shared" si="239"/>
        <v>105.55555555555556</v>
      </c>
      <c r="O546" s="986">
        <f t="shared" si="239"/>
        <v>105.55555555555556</v>
      </c>
      <c r="P546" s="986">
        <f t="shared" si="239"/>
        <v>105.55555555555556</v>
      </c>
      <c r="Q546" s="986">
        <f t="shared" si="239"/>
        <v>105.55555555555556</v>
      </c>
      <c r="R546" s="986">
        <f t="shared" si="239"/>
        <v>105.55555555555556</v>
      </c>
      <c r="S546" s="986">
        <f t="shared" si="239"/>
        <v>105.55555555555556</v>
      </c>
      <c r="T546" s="986">
        <f t="shared" si="239"/>
        <v>105.55555555555556</v>
      </c>
      <c r="U546" s="986">
        <f t="shared" si="239"/>
        <v>111.1111111111111</v>
      </c>
      <c r="V546" s="986">
        <f t="shared" si="239"/>
        <v>111.1111111111111</v>
      </c>
      <c r="W546" s="986">
        <f t="shared" si="239"/>
        <v>111.1111111111111</v>
      </c>
      <c r="X546" s="986">
        <f t="shared" si="239"/>
        <v>111.1111111111111</v>
      </c>
      <c r="Y546" s="986">
        <f t="shared" si="239"/>
        <v>111.1111111111111</v>
      </c>
      <c r="Z546" s="986">
        <f t="shared" si="239"/>
        <v>111.1111111111111</v>
      </c>
      <c r="AA546" s="986">
        <f t="shared" si="239"/>
        <v>111.1111111111111</v>
      </c>
      <c r="AB546" s="986">
        <f t="shared" si="239"/>
        <v>111.1111111111111</v>
      </c>
      <c r="AC546" s="986">
        <f t="shared" si="239"/>
        <v>111.1111111111111</v>
      </c>
      <c r="AD546" s="986">
        <f t="shared" si="239"/>
        <v>111.1111111111111</v>
      </c>
      <c r="AE546" s="986">
        <f t="shared" si="239"/>
        <v>111.1111111111111</v>
      </c>
      <c r="AF546" s="986">
        <f t="shared" si="239"/>
        <v>111.1111111111111</v>
      </c>
    </row>
    <row r="547" spans="1:32" s="1010" customFormat="1" outlineLevel="4">
      <c r="A547" s="999"/>
      <c r="B547" s="999"/>
      <c r="C547" s="999"/>
      <c r="D547" s="1015">
        <f>+D546+1</f>
        <v>143</v>
      </c>
      <c r="E547" s="1014" t="s">
        <v>1853</v>
      </c>
      <c r="F547" s="988">
        <f>+'[11]7'!$P$144</f>
        <v>2218.2219599999999</v>
      </c>
      <c r="G547" s="987">
        <v>4.4793850483071092E-4</v>
      </c>
      <c r="H547" s="986">
        <f>IF(H205=0,100,H205/H205*100)</f>
        <v>100</v>
      </c>
      <c r="I547" s="986">
        <f t="shared" ref="I547:AF547" si="240">IF(I205=0,100,I205/H205*H547)</f>
        <v>100</v>
      </c>
      <c r="J547" s="986">
        <f t="shared" si="240"/>
        <v>100</v>
      </c>
      <c r="K547" s="986">
        <f t="shared" si="240"/>
        <v>100</v>
      </c>
      <c r="L547" s="986">
        <f t="shared" si="240"/>
        <v>105.55555555555556</v>
      </c>
      <c r="M547" s="986">
        <f t="shared" si="240"/>
        <v>105.55555555555556</v>
      </c>
      <c r="N547" s="986">
        <f t="shared" si="240"/>
        <v>105.55555555555556</v>
      </c>
      <c r="O547" s="986">
        <f t="shared" si="240"/>
        <v>105.55555555555556</v>
      </c>
      <c r="P547" s="986">
        <f t="shared" si="240"/>
        <v>105.55555555555556</v>
      </c>
      <c r="Q547" s="986">
        <f t="shared" si="240"/>
        <v>105.55555555555556</v>
      </c>
      <c r="R547" s="986">
        <f t="shared" si="240"/>
        <v>105.55555555555556</v>
      </c>
      <c r="S547" s="986">
        <f t="shared" si="240"/>
        <v>105.55555555555556</v>
      </c>
      <c r="T547" s="986">
        <f t="shared" si="240"/>
        <v>105.55555555555556</v>
      </c>
      <c r="U547" s="986">
        <f t="shared" si="240"/>
        <v>111.1111111111111</v>
      </c>
      <c r="V547" s="986">
        <f t="shared" si="240"/>
        <v>122.22222222222221</v>
      </c>
      <c r="W547" s="986">
        <f t="shared" si="240"/>
        <v>122.22222222222221</v>
      </c>
      <c r="X547" s="986">
        <f t="shared" si="240"/>
        <v>133.33333333333331</v>
      </c>
      <c r="Y547" s="986">
        <f t="shared" si="240"/>
        <v>133.33333333333331</v>
      </c>
      <c r="Z547" s="986">
        <f t="shared" si="240"/>
        <v>144.4444444444444</v>
      </c>
      <c r="AA547" s="986">
        <f t="shared" si="240"/>
        <v>144.4444444444444</v>
      </c>
      <c r="AB547" s="986">
        <f t="shared" si="240"/>
        <v>144.4444444444444</v>
      </c>
      <c r="AC547" s="986">
        <f t="shared" si="240"/>
        <v>144.4444444444444</v>
      </c>
      <c r="AD547" s="986">
        <f t="shared" si="240"/>
        <v>149.99999999999997</v>
      </c>
      <c r="AE547" s="986">
        <f t="shared" si="240"/>
        <v>149.99999999999997</v>
      </c>
      <c r="AF547" s="986">
        <f t="shared" si="240"/>
        <v>149.99999999999997</v>
      </c>
    </row>
    <row r="548" spans="1:32" s="1010" customFormat="1" outlineLevel="4">
      <c r="A548" s="999"/>
      <c r="B548" s="999"/>
      <c r="C548" s="999"/>
      <c r="D548" s="1015">
        <f>+D547+1</f>
        <v>144</v>
      </c>
      <c r="E548" s="1014" t="s">
        <v>1852</v>
      </c>
      <c r="F548" s="988">
        <f>+'[11]7'!$P$143+'[11]7'!$P$142</f>
        <v>6649.5193099999997</v>
      </c>
      <c r="G548" s="987">
        <v>1.3427762375791917E-3</v>
      </c>
      <c r="H548" s="986">
        <f>IF(H206=0,100,H206/H206*100)</f>
        <v>100</v>
      </c>
      <c r="I548" s="986">
        <f t="shared" ref="I548:AF548" si="241">IF(I206=0,100,I206/H206*H548)</f>
        <v>100</v>
      </c>
      <c r="J548" s="986">
        <f t="shared" si="241"/>
        <v>100</v>
      </c>
      <c r="K548" s="986">
        <f t="shared" si="241"/>
        <v>100</v>
      </c>
      <c r="L548" s="986">
        <f t="shared" si="241"/>
        <v>100</v>
      </c>
      <c r="M548" s="986">
        <f t="shared" si="241"/>
        <v>100</v>
      </c>
      <c r="N548" s="986">
        <f t="shared" si="241"/>
        <v>100</v>
      </c>
      <c r="O548" s="986">
        <f t="shared" si="241"/>
        <v>100</v>
      </c>
      <c r="P548" s="986">
        <f t="shared" si="241"/>
        <v>100</v>
      </c>
      <c r="Q548" s="986">
        <f t="shared" si="241"/>
        <v>100</v>
      </c>
      <c r="R548" s="986">
        <f t="shared" si="241"/>
        <v>100</v>
      </c>
      <c r="S548" s="986">
        <f t="shared" si="241"/>
        <v>100</v>
      </c>
      <c r="T548" s="986">
        <f t="shared" si="241"/>
        <v>100</v>
      </c>
      <c r="U548" s="986">
        <f t="shared" si="241"/>
        <v>100</v>
      </c>
      <c r="V548" s="986">
        <f t="shared" si="241"/>
        <v>116.66666666666667</v>
      </c>
      <c r="W548" s="986">
        <f t="shared" si="241"/>
        <v>116.66666666666667</v>
      </c>
      <c r="X548" s="986">
        <f t="shared" si="241"/>
        <v>126.66666666666666</v>
      </c>
      <c r="Y548" s="986">
        <f t="shared" si="241"/>
        <v>133.33333333333331</v>
      </c>
      <c r="Z548" s="986">
        <f t="shared" si="241"/>
        <v>133.33333333333331</v>
      </c>
      <c r="AA548" s="986">
        <f t="shared" si="241"/>
        <v>133.33333333333331</v>
      </c>
      <c r="AB548" s="986">
        <f t="shared" si="241"/>
        <v>133.33333333333331</v>
      </c>
      <c r="AC548" s="986">
        <f t="shared" si="241"/>
        <v>133.33333333333331</v>
      </c>
      <c r="AD548" s="986">
        <f t="shared" si="241"/>
        <v>133.33333333333331</v>
      </c>
      <c r="AE548" s="986">
        <f t="shared" si="241"/>
        <v>133.33333333333331</v>
      </c>
      <c r="AF548" s="986">
        <f t="shared" si="241"/>
        <v>141.66666666666666</v>
      </c>
    </row>
    <row r="549" spans="1:32" ht="14.25" customHeight="1" outlineLevel="4">
      <c r="A549" s="999"/>
      <c r="B549" s="999"/>
      <c r="C549" s="999"/>
      <c r="D549" s="1015">
        <f>+D548+1</f>
        <v>145</v>
      </c>
      <c r="E549" s="1026" t="s">
        <v>1851</v>
      </c>
      <c r="F549" s="988">
        <f>+'[11]7'!$P$137+'[11]7'!$P$138+'[11]7'!$P$145+'[11]7'!$P$146+'[11]7'!$P$147+'[11]7'!$P$148+'[11]7'!$P$149</f>
        <v>9857.9101030000002</v>
      </c>
      <c r="G549" s="987">
        <v>1.9906653129939168E-3</v>
      </c>
      <c r="H549" s="986">
        <f>IF(H207=0,100,H207/H207*100)</f>
        <v>100</v>
      </c>
      <c r="I549" s="986">
        <f t="shared" ref="I549:AF549" si="242">IF(I207=0,100,I207/H207*H549)</f>
        <v>100</v>
      </c>
      <c r="J549" s="986">
        <f t="shared" si="242"/>
        <v>100</v>
      </c>
      <c r="K549" s="986">
        <f t="shared" si="242"/>
        <v>100</v>
      </c>
      <c r="L549" s="986">
        <f t="shared" si="242"/>
        <v>100</v>
      </c>
      <c r="M549" s="986">
        <f t="shared" si="242"/>
        <v>100</v>
      </c>
      <c r="N549" s="986">
        <f t="shared" si="242"/>
        <v>100</v>
      </c>
      <c r="O549" s="986">
        <f t="shared" si="242"/>
        <v>100</v>
      </c>
      <c r="P549" s="986">
        <f t="shared" si="242"/>
        <v>100</v>
      </c>
      <c r="Q549" s="986">
        <f t="shared" si="242"/>
        <v>100</v>
      </c>
      <c r="R549" s="986">
        <f t="shared" si="242"/>
        <v>100</v>
      </c>
      <c r="S549" s="986">
        <f t="shared" si="242"/>
        <v>100</v>
      </c>
      <c r="T549" s="986">
        <f t="shared" si="242"/>
        <v>112.00000000000001</v>
      </c>
      <c r="U549" s="986">
        <f t="shared" si="242"/>
        <v>120.00000000000001</v>
      </c>
      <c r="V549" s="986">
        <f t="shared" si="242"/>
        <v>112.00000000000001</v>
      </c>
      <c r="W549" s="986">
        <f t="shared" si="242"/>
        <v>120.00000000000001</v>
      </c>
      <c r="X549" s="986">
        <f t="shared" si="242"/>
        <v>120.00000000000001</v>
      </c>
      <c r="Y549" s="986">
        <f t="shared" si="242"/>
        <v>120.00000000000001</v>
      </c>
      <c r="Z549" s="986">
        <f t="shared" si="242"/>
        <v>128</v>
      </c>
      <c r="AA549" s="986">
        <f t="shared" si="242"/>
        <v>128</v>
      </c>
      <c r="AB549" s="986">
        <f t="shared" si="242"/>
        <v>128</v>
      </c>
      <c r="AC549" s="986">
        <f t="shared" si="242"/>
        <v>128</v>
      </c>
      <c r="AD549" s="986">
        <f t="shared" si="242"/>
        <v>128</v>
      </c>
      <c r="AE549" s="986">
        <f t="shared" si="242"/>
        <v>128</v>
      </c>
      <c r="AF549" s="986">
        <f t="shared" si="242"/>
        <v>128</v>
      </c>
    </row>
    <row r="550" spans="1:32" ht="14.25" customHeight="1" outlineLevel="2">
      <c r="A550" s="999"/>
      <c r="B550" s="1958" t="s">
        <v>1850</v>
      </c>
      <c r="C550" s="1958"/>
      <c r="D550" s="1958"/>
      <c r="E550" s="1958"/>
      <c r="F550" s="1020">
        <f>+F551</f>
        <v>26891.529786999999</v>
      </c>
      <c r="G550" s="1019">
        <v>5.4303635355766227E-3</v>
      </c>
      <c r="H550" s="1018">
        <f t="shared" ref="H550:AF550" si="243">+$G$551*H551/$G$550</f>
        <v>100.00000000000001</v>
      </c>
      <c r="I550" s="1018">
        <f t="shared" si="243"/>
        <v>100.00000000000001</v>
      </c>
      <c r="J550" s="1018">
        <f t="shared" si="243"/>
        <v>100.00000000000001</v>
      </c>
      <c r="K550" s="1018">
        <f t="shared" si="243"/>
        <v>100.00000000000001</v>
      </c>
      <c r="L550" s="1018">
        <f t="shared" si="243"/>
        <v>100.00000000000001</v>
      </c>
      <c r="M550" s="1018">
        <f t="shared" si="243"/>
        <v>100.00000000000001</v>
      </c>
      <c r="N550" s="1018">
        <f t="shared" si="243"/>
        <v>100.00000000000001</v>
      </c>
      <c r="O550" s="1018">
        <f t="shared" si="243"/>
        <v>100.00000000000001</v>
      </c>
      <c r="P550" s="1018">
        <f t="shared" si="243"/>
        <v>100.00000000000001</v>
      </c>
      <c r="Q550" s="1018">
        <f t="shared" si="243"/>
        <v>102.10789563785755</v>
      </c>
      <c r="R550" s="1018">
        <f t="shared" si="243"/>
        <v>102.10789563785755</v>
      </c>
      <c r="S550" s="1018">
        <f t="shared" si="243"/>
        <v>102.10789563785755</v>
      </c>
      <c r="T550" s="1018">
        <f t="shared" si="243"/>
        <v>102.10789563785755</v>
      </c>
      <c r="U550" s="1018">
        <f t="shared" si="243"/>
        <v>114.51369974005142</v>
      </c>
      <c r="V550" s="1018">
        <f t="shared" si="243"/>
        <v>121.64976474760145</v>
      </c>
      <c r="W550" s="1018">
        <f t="shared" si="243"/>
        <v>116.38002565295761</v>
      </c>
      <c r="X550" s="1018">
        <f t="shared" si="243"/>
        <v>116.38002565295761</v>
      </c>
      <c r="Y550" s="1018">
        <f t="shared" si="243"/>
        <v>116.38002565295761</v>
      </c>
      <c r="Z550" s="1018">
        <f t="shared" si="243"/>
        <v>116.38002565295761</v>
      </c>
      <c r="AA550" s="1018">
        <f t="shared" si="243"/>
        <v>116.38002565295761</v>
      </c>
      <c r="AB550" s="1018">
        <f t="shared" si="243"/>
        <v>116.38002565295761</v>
      </c>
      <c r="AC550" s="1018">
        <f t="shared" si="243"/>
        <v>119.94805815673263</v>
      </c>
      <c r="AD550" s="1018">
        <f t="shared" si="243"/>
        <v>127.08412316428266</v>
      </c>
      <c r="AE550" s="1018">
        <f t="shared" si="243"/>
        <v>134.22018817183269</v>
      </c>
      <c r="AF550" s="1018">
        <f t="shared" si="243"/>
        <v>141.35625317938272</v>
      </c>
    </row>
    <row r="551" spans="1:32" s="1010" customFormat="1" outlineLevel="3">
      <c r="A551" s="999"/>
      <c r="B551" s="999"/>
      <c r="C551" s="1956" t="s">
        <v>1849</v>
      </c>
      <c r="D551" s="1956"/>
      <c r="E551" s="1956"/>
      <c r="F551" s="998">
        <f>SUM(F552:F554)</f>
        <v>26891.529786999999</v>
      </c>
      <c r="G551" s="997">
        <v>5.4303635355766227E-3</v>
      </c>
      <c r="H551" s="996">
        <f t="shared" ref="H551:AF551" si="244">+SUMPRODUCT(H552:H554,$G552:$G554)/$G551</f>
        <v>100.00000000000001</v>
      </c>
      <c r="I551" s="996">
        <f t="shared" si="244"/>
        <v>100.00000000000001</v>
      </c>
      <c r="J551" s="996">
        <f t="shared" si="244"/>
        <v>100.00000000000001</v>
      </c>
      <c r="K551" s="996">
        <f t="shared" si="244"/>
        <v>100.00000000000001</v>
      </c>
      <c r="L551" s="996">
        <f t="shared" si="244"/>
        <v>100.00000000000001</v>
      </c>
      <c r="M551" s="996">
        <f t="shared" si="244"/>
        <v>100.00000000000001</v>
      </c>
      <c r="N551" s="996">
        <f t="shared" si="244"/>
        <v>100.00000000000001</v>
      </c>
      <c r="O551" s="996">
        <f t="shared" si="244"/>
        <v>100.00000000000001</v>
      </c>
      <c r="P551" s="996">
        <f t="shared" si="244"/>
        <v>100.00000000000001</v>
      </c>
      <c r="Q551" s="996">
        <f t="shared" si="244"/>
        <v>102.10789563785755</v>
      </c>
      <c r="R551" s="996">
        <f t="shared" si="244"/>
        <v>102.10789563785755</v>
      </c>
      <c r="S551" s="996">
        <f t="shared" si="244"/>
        <v>102.10789563785755</v>
      </c>
      <c r="T551" s="996">
        <f t="shared" si="244"/>
        <v>102.10789563785755</v>
      </c>
      <c r="U551" s="996">
        <f t="shared" si="244"/>
        <v>114.51369974005142</v>
      </c>
      <c r="V551" s="996">
        <f t="shared" si="244"/>
        <v>121.64976474760145</v>
      </c>
      <c r="W551" s="996">
        <f t="shared" si="244"/>
        <v>116.38002565295761</v>
      </c>
      <c r="X551" s="996">
        <f t="shared" si="244"/>
        <v>116.38002565295761</v>
      </c>
      <c r="Y551" s="996">
        <f t="shared" si="244"/>
        <v>116.38002565295761</v>
      </c>
      <c r="Z551" s="996">
        <f t="shared" si="244"/>
        <v>116.38002565295761</v>
      </c>
      <c r="AA551" s="996">
        <f t="shared" si="244"/>
        <v>116.38002565295761</v>
      </c>
      <c r="AB551" s="996">
        <f t="shared" si="244"/>
        <v>116.38002565295761</v>
      </c>
      <c r="AC551" s="996">
        <f t="shared" si="244"/>
        <v>119.94805815673263</v>
      </c>
      <c r="AD551" s="996">
        <f t="shared" si="244"/>
        <v>127.08412316428266</v>
      </c>
      <c r="AE551" s="996">
        <f t="shared" si="244"/>
        <v>134.22018817183269</v>
      </c>
      <c r="AF551" s="996">
        <f t="shared" si="244"/>
        <v>141.35625317938272</v>
      </c>
    </row>
    <row r="552" spans="1:32" s="1010" customFormat="1" outlineLevel="4">
      <c r="A552" s="999"/>
      <c r="B552" s="999"/>
      <c r="C552" s="999"/>
      <c r="D552" s="1017">
        <f>+D549+1</f>
        <v>146</v>
      </c>
      <c r="E552" s="1014" t="s">
        <v>1848</v>
      </c>
      <c r="F552" s="988">
        <f>+'[12]7'!$P$370+'[12]7'!$P$371</f>
        <v>13604.289199999999</v>
      </c>
      <c r="G552" s="987">
        <v>2.7471935060694236E-3</v>
      </c>
      <c r="H552" s="986">
        <f>IF(H210=0,100,H210/H210*100)</f>
        <v>100</v>
      </c>
      <c r="I552" s="986">
        <f t="shared" ref="I552:AF552" si="245">IF(I210=0,100,I210/H210*H552)</f>
        <v>100</v>
      </c>
      <c r="J552" s="986">
        <f t="shared" si="245"/>
        <v>100</v>
      </c>
      <c r="K552" s="986">
        <f t="shared" si="245"/>
        <v>100</v>
      </c>
      <c r="L552" s="986">
        <f t="shared" si="245"/>
        <v>100</v>
      </c>
      <c r="M552" s="986">
        <f t="shared" si="245"/>
        <v>100</v>
      </c>
      <c r="N552" s="986">
        <f t="shared" si="245"/>
        <v>100</v>
      </c>
      <c r="O552" s="986">
        <f t="shared" si="245"/>
        <v>100</v>
      </c>
      <c r="P552" s="986">
        <f t="shared" si="245"/>
        <v>100</v>
      </c>
      <c r="Q552" s="986">
        <f t="shared" si="245"/>
        <v>104.16666666666667</v>
      </c>
      <c r="R552" s="986">
        <f t="shared" si="245"/>
        <v>104.16666666666667</v>
      </c>
      <c r="S552" s="986">
        <f t="shared" si="245"/>
        <v>104.16666666666667</v>
      </c>
      <c r="T552" s="986">
        <f t="shared" si="245"/>
        <v>104.16666666666667</v>
      </c>
      <c r="U552" s="986">
        <f t="shared" si="245"/>
        <v>114.58333333333334</v>
      </c>
      <c r="V552" s="986">
        <f t="shared" si="245"/>
        <v>114.58333333333334</v>
      </c>
      <c r="W552" s="986">
        <f t="shared" si="245"/>
        <v>104.16666666666667</v>
      </c>
      <c r="X552" s="986">
        <f t="shared" si="245"/>
        <v>104.16666666666667</v>
      </c>
      <c r="Y552" s="986">
        <f t="shared" si="245"/>
        <v>104.16666666666667</v>
      </c>
      <c r="Z552" s="986">
        <f t="shared" si="245"/>
        <v>104.16666666666667</v>
      </c>
      <c r="AA552" s="986">
        <f t="shared" si="245"/>
        <v>104.16666666666667</v>
      </c>
      <c r="AB552" s="986">
        <f t="shared" si="245"/>
        <v>104.16666666666667</v>
      </c>
      <c r="AC552" s="986">
        <f t="shared" si="245"/>
        <v>104.16666666666667</v>
      </c>
      <c r="AD552" s="986">
        <f t="shared" si="245"/>
        <v>104.16666666666667</v>
      </c>
      <c r="AE552" s="986">
        <f t="shared" si="245"/>
        <v>104.16666666666667</v>
      </c>
      <c r="AF552" s="986">
        <f t="shared" si="245"/>
        <v>104.16666666666667</v>
      </c>
    </row>
    <row r="553" spans="1:32" s="1010" customFormat="1" outlineLevel="4">
      <c r="A553" s="999"/>
      <c r="B553" s="999"/>
      <c r="C553" s="999"/>
      <c r="D553" s="1017">
        <f>+D552+1</f>
        <v>147</v>
      </c>
      <c r="E553" s="1014" t="s">
        <v>1847</v>
      </c>
      <c r="F553" s="988">
        <f>+'[11]7'!$P$158++('[11]7'!$P$150+'[11]7'!$P$151+'[11]7'!$P$152+'[11]7'!$P$153+'[11]7'!$P$154+'[11]7'!$P$159+'[11]7'!$P$160+'[11]7'!$P$161+'[11]7'!$P$162+'[11]7'!$P$175+'[11]7'!$P$181+'[11]7'!$P$173)/2</f>
        <v>5611.2523984999998</v>
      </c>
      <c r="G553" s="987">
        <v>1.1331129413270395E-3</v>
      </c>
      <c r="H553" s="986">
        <f>IF(H211=0,100,H211/H211*100)</f>
        <v>100</v>
      </c>
      <c r="I553" s="986">
        <f t="shared" ref="I553:AF553" si="246">IF(I211=0,100,I211/H211*H553)</f>
        <v>100</v>
      </c>
      <c r="J553" s="986">
        <f t="shared" si="246"/>
        <v>100</v>
      </c>
      <c r="K553" s="986">
        <f t="shared" si="246"/>
        <v>100</v>
      </c>
      <c r="L553" s="986">
        <f t="shared" si="246"/>
        <v>100</v>
      </c>
      <c r="M553" s="986">
        <f t="shared" si="246"/>
        <v>100</v>
      </c>
      <c r="N553" s="986">
        <f t="shared" si="246"/>
        <v>100</v>
      </c>
      <c r="O553" s="986">
        <f t="shared" si="246"/>
        <v>100</v>
      </c>
      <c r="P553" s="986">
        <f t="shared" si="246"/>
        <v>100</v>
      </c>
      <c r="Q553" s="986">
        <f t="shared" si="246"/>
        <v>100</v>
      </c>
      <c r="R553" s="986">
        <f t="shared" si="246"/>
        <v>100</v>
      </c>
      <c r="S553" s="986">
        <f t="shared" si="246"/>
        <v>100</v>
      </c>
      <c r="T553" s="986">
        <f t="shared" si="246"/>
        <v>100</v>
      </c>
      <c r="U553" s="986">
        <f t="shared" si="246"/>
        <v>100</v>
      </c>
      <c r="V553" s="986">
        <f t="shared" si="246"/>
        <v>100</v>
      </c>
      <c r="W553" s="986">
        <f t="shared" si="246"/>
        <v>100</v>
      </c>
      <c r="X553" s="986">
        <f t="shared" si="246"/>
        <v>100</v>
      </c>
      <c r="Y553" s="986">
        <f t="shared" si="246"/>
        <v>100</v>
      </c>
      <c r="Z553" s="986">
        <f t="shared" si="246"/>
        <v>100</v>
      </c>
      <c r="AA553" s="986">
        <f t="shared" si="246"/>
        <v>100</v>
      </c>
      <c r="AB553" s="986">
        <f t="shared" si="246"/>
        <v>100</v>
      </c>
      <c r="AC553" s="986">
        <f t="shared" si="246"/>
        <v>100</v>
      </c>
      <c r="AD553" s="986">
        <f t="shared" si="246"/>
        <v>100</v>
      </c>
      <c r="AE553" s="986">
        <f t="shared" si="246"/>
        <v>100</v>
      </c>
      <c r="AF553" s="986">
        <f t="shared" si="246"/>
        <v>100</v>
      </c>
    </row>
    <row r="554" spans="1:32" ht="14.25" customHeight="1" outlineLevel="4">
      <c r="A554" s="999"/>
      <c r="B554" s="999"/>
      <c r="C554" s="999"/>
      <c r="D554" s="1017">
        <f>+D553+1</f>
        <v>148</v>
      </c>
      <c r="E554" s="1026" t="s">
        <v>1846</v>
      </c>
      <c r="F554" s="988">
        <f>+'[11]7'!$P$156+'[11]7'!$P$157+'[11]7'!$P$155++('[11]7'!$P$150+'[11]7'!$P$151+'[11]7'!$P$152+'[11]7'!$P$153+'[11]7'!$P$154+'[11]7'!$P$159+'[11]7'!$P$160+'[11]7'!$P$161+'[11]7'!$P$162+'[11]7'!$P$175+'[11]7'!$P$181+'[11]7'!$P$173)/2</f>
        <v>7675.9881885000004</v>
      </c>
      <c r="G554" s="987">
        <v>1.5500570881801601E-3</v>
      </c>
      <c r="H554" s="986">
        <f>IF(H212=0,100,H212/H212*100)</f>
        <v>100</v>
      </c>
      <c r="I554" s="986">
        <f t="shared" ref="I554:AF554" si="247">IF(I212=0,100,I212/H212*H554)</f>
        <v>100</v>
      </c>
      <c r="J554" s="986">
        <f t="shared" si="247"/>
        <v>100</v>
      </c>
      <c r="K554" s="986">
        <f t="shared" si="247"/>
        <v>100</v>
      </c>
      <c r="L554" s="986">
        <f t="shared" si="247"/>
        <v>100</v>
      </c>
      <c r="M554" s="986">
        <f t="shared" si="247"/>
        <v>100</v>
      </c>
      <c r="N554" s="986">
        <f t="shared" si="247"/>
        <v>100</v>
      </c>
      <c r="O554" s="986">
        <f t="shared" si="247"/>
        <v>100</v>
      </c>
      <c r="P554" s="986">
        <f t="shared" si="247"/>
        <v>100</v>
      </c>
      <c r="Q554" s="986">
        <f t="shared" si="247"/>
        <v>100</v>
      </c>
      <c r="R554" s="986">
        <f t="shared" si="247"/>
        <v>100</v>
      </c>
      <c r="S554" s="986">
        <f t="shared" si="247"/>
        <v>100</v>
      </c>
      <c r="T554" s="986">
        <f t="shared" si="247"/>
        <v>100</v>
      </c>
      <c r="U554" s="986">
        <f t="shared" si="247"/>
        <v>125</v>
      </c>
      <c r="V554" s="986">
        <f t="shared" si="247"/>
        <v>150</v>
      </c>
      <c r="W554" s="986">
        <f t="shared" si="247"/>
        <v>150</v>
      </c>
      <c r="X554" s="986">
        <f t="shared" si="247"/>
        <v>150</v>
      </c>
      <c r="Y554" s="986">
        <f t="shared" si="247"/>
        <v>150</v>
      </c>
      <c r="Z554" s="986">
        <f t="shared" si="247"/>
        <v>150</v>
      </c>
      <c r="AA554" s="986">
        <f t="shared" si="247"/>
        <v>150</v>
      </c>
      <c r="AB554" s="986">
        <f t="shared" si="247"/>
        <v>150</v>
      </c>
      <c r="AC554" s="986">
        <f t="shared" si="247"/>
        <v>162.5</v>
      </c>
      <c r="AD554" s="986">
        <f t="shared" si="247"/>
        <v>187.49999999999997</v>
      </c>
      <c r="AE554" s="986">
        <f t="shared" si="247"/>
        <v>212.49999999999997</v>
      </c>
      <c r="AF554" s="986">
        <f t="shared" si="247"/>
        <v>237.49999999999997</v>
      </c>
    </row>
    <row r="555" spans="1:32" ht="14.25" customHeight="1" outlineLevel="2">
      <c r="A555" s="999"/>
      <c r="B555" s="1958" t="s">
        <v>1845</v>
      </c>
      <c r="C555" s="1958"/>
      <c r="D555" s="1958"/>
      <c r="E555" s="1958"/>
      <c r="F555" s="1020">
        <f>+F556</f>
        <v>86711.912985000017</v>
      </c>
      <c r="G555" s="1019">
        <v>1.7510242596963384E-2</v>
      </c>
      <c r="H555" s="1018">
        <f t="shared" ref="H555:AF555" si="248">+$G$556*H556/$G$555</f>
        <v>99.999999999999986</v>
      </c>
      <c r="I555" s="1018">
        <f t="shared" si="248"/>
        <v>101.38183824182661</v>
      </c>
      <c r="J555" s="1018">
        <f t="shared" si="248"/>
        <v>99.999999999999986</v>
      </c>
      <c r="K555" s="1018">
        <f t="shared" si="248"/>
        <v>101.17845673000258</v>
      </c>
      <c r="L555" s="1018">
        <f t="shared" si="248"/>
        <v>104.84788744771654</v>
      </c>
      <c r="M555" s="1018">
        <f t="shared" si="248"/>
        <v>107.45005630566172</v>
      </c>
      <c r="N555" s="1018">
        <f t="shared" si="248"/>
        <v>108.43180467009611</v>
      </c>
      <c r="O555" s="1018">
        <f t="shared" si="248"/>
        <v>108.43180467009611</v>
      </c>
      <c r="P555" s="1018">
        <f t="shared" si="248"/>
        <v>108.43180467009611</v>
      </c>
      <c r="Q555" s="1018">
        <f t="shared" si="248"/>
        <v>110.02618730480548</v>
      </c>
      <c r="R555" s="1018">
        <f t="shared" si="248"/>
        <v>111.82676440779169</v>
      </c>
      <c r="S555" s="1018">
        <f t="shared" si="248"/>
        <v>111.99244491453699</v>
      </c>
      <c r="T555" s="1018">
        <f t="shared" si="248"/>
        <v>111.99244491453699</v>
      </c>
      <c r="U555" s="1018">
        <f t="shared" si="248"/>
        <v>115.19382955608637</v>
      </c>
      <c r="V555" s="1018">
        <f t="shared" si="248"/>
        <v>116.50693893401139</v>
      </c>
      <c r="W555" s="1018">
        <f t="shared" si="248"/>
        <v>124.53533670574184</v>
      </c>
      <c r="X555" s="1018">
        <f t="shared" si="248"/>
        <v>127.04776987269932</v>
      </c>
      <c r="Y555" s="1018">
        <f t="shared" si="248"/>
        <v>127.04776987269932</v>
      </c>
      <c r="Z555" s="1018">
        <f t="shared" si="248"/>
        <v>127.04776987269932</v>
      </c>
      <c r="AA555" s="1018">
        <f t="shared" si="248"/>
        <v>127.04776987269932</v>
      </c>
      <c r="AB555" s="1018">
        <f t="shared" si="248"/>
        <v>127.04776987269932</v>
      </c>
      <c r="AC555" s="1018">
        <f t="shared" si="248"/>
        <v>128.55048786682664</v>
      </c>
      <c r="AD555" s="1018">
        <f t="shared" si="248"/>
        <v>128.55048786682664</v>
      </c>
      <c r="AE555" s="1018">
        <f t="shared" si="248"/>
        <v>128.55048786682664</v>
      </c>
      <c r="AF555" s="1018">
        <f t="shared" si="248"/>
        <v>131.38079304676162</v>
      </c>
    </row>
    <row r="556" spans="1:32" s="1010" customFormat="1" outlineLevel="3">
      <c r="A556" s="999"/>
      <c r="B556" s="999"/>
      <c r="C556" s="1956" t="s">
        <v>1844</v>
      </c>
      <c r="D556" s="1956"/>
      <c r="E556" s="1956"/>
      <c r="F556" s="998">
        <f>SUM(F557:F561)</f>
        <v>86711.912985000017</v>
      </c>
      <c r="G556" s="997">
        <v>1.7510242596963384E-2</v>
      </c>
      <c r="H556" s="996">
        <f t="shared" ref="H556:AF556" si="249">+SUMPRODUCT(H557:H561,$G557:$G561)/$G556</f>
        <v>99.999999999999986</v>
      </c>
      <c r="I556" s="996">
        <f t="shared" si="249"/>
        <v>101.38183824182661</v>
      </c>
      <c r="J556" s="996">
        <f t="shared" si="249"/>
        <v>99.999999999999986</v>
      </c>
      <c r="K556" s="996">
        <f t="shared" si="249"/>
        <v>101.17845673000258</v>
      </c>
      <c r="L556" s="996">
        <f t="shared" si="249"/>
        <v>104.84788744771654</v>
      </c>
      <c r="M556" s="996">
        <f t="shared" si="249"/>
        <v>107.45005630566172</v>
      </c>
      <c r="N556" s="996">
        <f t="shared" si="249"/>
        <v>108.43180467009611</v>
      </c>
      <c r="O556" s="996">
        <f t="shared" si="249"/>
        <v>108.43180467009611</v>
      </c>
      <c r="P556" s="996">
        <f t="shared" si="249"/>
        <v>108.43180467009611</v>
      </c>
      <c r="Q556" s="996">
        <f t="shared" si="249"/>
        <v>110.02618730480548</v>
      </c>
      <c r="R556" s="996">
        <f t="shared" si="249"/>
        <v>111.82676440779169</v>
      </c>
      <c r="S556" s="996">
        <f t="shared" si="249"/>
        <v>111.99244491453699</v>
      </c>
      <c r="T556" s="996">
        <f t="shared" si="249"/>
        <v>111.99244491453699</v>
      </c>
      <c r="U556" s="996">
        <f t="shared" si="249"/>
        <v>115.19382955608637</v>
      </c>
      <c r="V556" s="996">
        <f t="shared" si="249"/>
        <v>116.50693893401139</v>
      </c>
      <c r="W556" s="996">
        <f t="shared" si="249"/>
        <v>124.53533670574184</v>
      </c>
      <c r="X556" s="996">
        <f t="shared" si="249"/>
        <v>127.04776987269932</v>
      </c>
      <c r="Y556" s="996">
        <f t="shared" si="249"/>
        <v>127.04776987269932</v>
      </c>
      <c r="Z556" s="996">
        <f t="shared" si="249"/>
        <v>127.04776987269932</v>
      </c>
      <c r="AA556" s="996">
        <f t="shared" si="249"/>
        <v>127.04776987269932</v>
      </c>
      <c r="AB556" s="996">
        <f t="shared" si="249"/>
        <v>127.04776987269932</v>
      </c>
      <c r="AC556" s="996">
        <f t="shared" si="249"/>
        <v>128.55048786682664</v>
      </c>
      <c r="AD556" s="996">
        <f t="shared" si="249"/>
        <v>128.55048786682664</v>
      </c>
      <c r="AE556" s="996">
        <f t="shared" si="249"/>
        <v>128.55048786682664</v>
      </c>
      <c r="AF556" s="996">
        <f t="shared" si="249"/>
        <v>131.38079304676162</v>
      </c>
    </row>
    <row r="557" spans="1:32" s="1010" customFormat="1" outlineLevel="4">
      <c r="A557" s="999"/>
      <c r="B557" s="999"/>
      <c r="C557" s="999"/>
      <c r="D557" s="1017">
        <f>+D554+1</f>
        <v>149</v>
      </c>
      <c r="E557" s="1014" t="s">
        <v>1843</v>
      </c>
      <c r="F557" s="988">
        <f>+'[11]7'!$P$163</f>
        <v>21038.342999999997</v>
      </c>
      <c r="G557" s="987">
        <v>4.2483953713701632E-3</v>
      </c>
      <c r="H557" s="986">
        <f>IF(H215=0,100,H215/H215*100)</f>
        <v>100</v>
      </c>
      <c r="I557" s="986">
        <f t="shared" ref="I557:AF557" si="250">IF(I215=0,100,I215/H215*H557)</f>
        <v>100</v>
      </c>
      <c r="J557" s="986">
        <f t="shared" si="250"/>
        <v>100</v>
      </c>
      <c r="K557" s="986">
        <f t="shared" si="250"/>
        <v>104.85714285714285</v>
      </c>
      <c r="L557" s="986">
        <f t="shared" si="250"/>
        <v>114.28571428571429</v>
      </c>
      <c r="M557" s="986">
        <f t="shared" si="250"/>
        <v>119.14285714285715</v>
      </c>
      <c r="N557" s="986">
        <f t="shared" si="250"/>
        <v>119.14285714285715</v>
      </c>
      <c r="O557" s="986">
        <f t="shared" si="250"/>
        <v>119.14285714285715</v>
      </c>
      <c r="P557" s="986">
        <f t="shared" si="250"/>
        <v>119.14285714285715</v>
      </c>
      <c r="Q557" s="986">
        <f t="shared" si="250"/>
        <v>125.71428571428574</v>
      </c>
      <c r="R557" s="986">
        <f t="shared" si="250"/>
        <v>125.71428571428574</v>
      </c>
      <c r="S557" s="986">
        <f t="shared" si="250"/>
        <v>125.71428571428574</v>
      </c>
      <c r="T557" s="986">
        <f t="shared" si="250"/>
        <v>125.71428571428574</v>
      </c>
      <c r="U557" s="986">
        <f t="shared" si="250"/>
        <v>128.57142857142858</v>
      </c>
      <c r="V557" s="986">
        <f t="shared" si="250"/>
        <v>128.57142857142858</v>
      </c>
      <c r="W557" s="986">
        <f t="shared" si="250"/>
        <v>142.85714285714289</v>
      </c>
      <c r="X557" s="986">
        <f t="shared" si="250"/>
        <v>142.85714285714289</v>
      </c>
      <c r="Y557" s="986">
        <f t="shared" si="250"/>
        <v>142.85714285714289</v>
      </c>
      <c r="Z557" s="986">
        <f t="shared" si="250"/>
        <v>142.85714285714289</v>
      </c>
      <c r="AA557" s="986">
        <f t="shared" si="250"/>
        <v>142.85714285714289</v>
      </c>
      <c r="AB557" s="986">
        <f t="shared" si="250"/>
        <v>142.85714285714289</v>
      </c>
      <c r="AC557" s="986">
        <f t="shared" si="250"/>
        <v>142.85714285714289</v>
      </c>
      <c r="AD557" s="986">
        <f t="shared" si="250"/>
        <v>142.85714285714289</v>
      </c>
      <c r="AE557" s="986">
        <f t="shared" si="250"/>
        <v>142.85714285714289</v>
      </c>
      <c r="AF557" s="986">
        <f t="shared" si="250"/>
        <v>147.61904761904765</v>
      </c>
    </row>
    <row r="558" spans="1:32" s="1010" customFormat="1" outlineLevel="4">
      <c r="A558" s="999"/>
      <c r="B558" s="999"/>
      <c r="C558" s="999"/>
      <c r="D558" s="1017">
        <f>+D557+1</f>
        <v>150</v>
      </c>
      <c r="E558" s="1014" t="s">
        <v>1842</v>
      </c>
      <c r="F558" s="988">
        <f>+'[11]7'!$P$164</f>
        <v>23601.271000000001</v>
      </c>
      <c r="G558" s="987">
        <v>4.7659423783922945E-3</v>
      </c>
      <c r="H558" s="986">
        <f>IF(H216=0,100,H216/H216*100)</f>
        <v>100</v>
      </c>
      <c r="I558" s="986">
        <f t="shared" ref="I558:AF558" si="251">IF(I216=0,100,I216/H216*H558)</f>
        <v>105.07692307692307</v>
      </c>
      <c r="J558" s="986">
        <f t="shared" si="251"/>
        <v>99.999999999999986</v>
      </c>
      <c r="K558" s="986">
        <f t="shared" si="251"/>
        <v>99.999999999999986</v>
      </c>
      <c r="L558" s="986">
        <f t="shared" si="251"/>
        <v>105.07692307692305</v>
      </c>
      <c r="M558" s="986">
        <f t="shared" si="251"/>
        <v>110.30769230769229</v>
      </c>
      <c r="N558" s="986">
        <f t="shared" si="251"/>
        <v>110.30769230769229</v>
      </c>
      <c r="O558" s="986">
        <f t="shared" si="251"/>
        <v>110.30769230769229</v>
      </c>
      <c r="P558" s="986">
        <f t="shared" si="251"/>
        <v>110.30769230769229</v>
      </c>
      <c r="Q558" s="986">
        <f t="shared" si="251"/>
        <v>110.30769230769229</v>
      </c>
      <c r="R558" s="986">
        <f t="shared" si="251"/>
        <v>116.92307692307692</v>
      </c>
      <c r="S558" s="986">
        <f t="shared" si="251"/>
        <v>116.92307692307692</v>
      </c>
      <c r="T558" s="986">
        <f t="shared" si="251"/>
        <v>116.92307692307692</v>
      </c>
      <c r="U558" s="986">
        <f t="shared" si="251"/>
        <v>123.07692307692307</v>
      </c>
      <c r="V558" s="986">
        <f t="shared" si="251"/>
        <v>123.07692307692307</v>
      </c>
      <c r="W558" s="986">
        <f t="shared" si="251"/>
        <v>123.07692307692307</v>
      </c>
      <c r="X558" s="986">
        <f t="shared" si="251"/>
        <v>132.30769230769229</v>
      </c>
      <c r="Y558" s="986">
        <f t="shared" si="251"/>
        <v>132.30769230769229</v>
      </c>
      <c r="Z558" s="986">
        <f t="shared" si="251"/>
        <v>132.30769230769229</v>
      </c>
      <c r="AA558" s="986">
        <f t="shared" si="251"/>
        <v>132.30769230769229</v>
      </c>
      <c r="AB558" s="986">
        <f t="shared" si="251"/>
        <v>132.30769230769229</v>
      </c>
      <c r="AC558" s="986">
        <f t="shared" si="251"/>
        <v>149.23076923076923</v>
      </c>
      <c r="AD558" s="986">
        <f t="shared" si="251"/>
        <v>149.23076923076923</v>
      </c>
      <c r="AE558" s="986">
        <f t="shared" si="251"/>
        <v>149.23076923076923</v>
      </c>
      <c r="AF558" s="986">
        <f t="shared" si="251"/>
        <v>155.38461538461539</v>
      </c>
    </row>
    <row r="559" spans="1:32" s="1010" customFormat="1" outlineLevel="4">
      <c r="A559" s="999"/>
      <c r="B559" s="999"/>
      <c r="C559" s="999"/>
      <c r="D559" s="1017">
        <f>+D558+1</f>
        <v>151</v>
      </c>
      <c r="E559" s="1014" t="s">
        <v>1841</v>
      </c>
      <c r="F559" s="988">
        <f>+'[11]7'!$P$168+'[11]7'!$P$169+'[11]7'!$P$167+'[11]7'!$P$170+'[11]7'!$P$171+'[11]7'!$P$172+'[11]7'!$P$179+'[11]7'!$P$180+'[11]7'!$P$176+'[11]7'!$P$177</f>
        <v>32532.326685</v>
      </c>
      <c r="G559" s="987">
        <v>6.5694425700948064E-3</v>
      </c>
      <c r="H559" s="986">
        <f>IF(H217=0,100,H217/H217*100)</f>
        <v>100</v>
      </c>
      <c r="I559" s="986">
        <f t="shared" ref="I559:AF559" si="252">IF(I217=0,100,I217/H217*H559)</f>
        <v>100</v>
      </c>
      <c r="J559" s="986">
        <f t="shared" si="252"/>
        <v>100</v>
      </c>
      <c r="K559" s="986">
        <f t="shared" si="252"/>
        <v>100</v>
      </c>
      <c r="L559" s="986">
        <f t="shared" si="252"/>
        <v>100</v>
      </c>
      <c r="M559" s="986">
        <f t="shared" si="252"/>
        <v>100</v>
      </c>
      <c r="N559" s="986">
        <f t="shared" si="252"/>
        <v>100</v>
      </c>
      <c r="O559" s="986">
        <f t="shared" si="252"/>
        <v>100</v>
      </c>
      <c r="P559" s="986">
        <f t="shared" si="252"/>
        <v>100</v>
      </c>
      <c r="Q559" s="986">
        <f t="shared" si="252"/>
        <v>100</v>
      </c>
      <c r="R559" s="986">
        <f t="shared" si="252"/>
        <v>100</v>
      </c>
      <c r="S559" s="986">
        <f t="shared" si="252"/>
        <v>100</v>
      </c>
      <c r="T559" s="986">
        <f t="shared" si="252"/>
        <v>100</v>
      </c>
      <c r="U559" s="986">
        <f t="shared" si="252"/>
        <v>101.33765707336846</v>
      </c>
      <c r="V559" s="986">
        <f t="shared" si="252"/>
        <v>101.33765707336846</v>
      </c>
      <c r="W559" s="986">
        <f t="shared" si="252"/>
        <v>113.49817592217269</v>
      </c>
      <c r="X559" s="986">
        <f t="shared" si="252"/>
        <v>113.49817592217269</v>
      </c>
      <c r="Y559" s="986">
        <f t="shared" si="252"/>
        <v>113.49817592217269</v>
      </c>
      <c r="Z559" s="986">
        <f t="shared" si="252"/>
        <v>113.49817592217269</v>
      </c>
      <c r="AA559" s="986">
        <f t="shared" si="252"/>
        <v>113.49817592217269</v>
      </c>
      <c r="AB559" s="986">
        <f t="shared" si="252"/>
        <v>113.49817592217269</v>
      </c>
      <c r="AC559" s="986">
        <f t="shared" si="252"/>
        <v>107.41791649777058</v>
      </c>
      <c r="AD559" s="986">
        <f t="shared" si="252"/>
        <v>107.41791649777058</v>
      </c>
      <c r="AE559" s="986">
        <f t="shared" si="252"/>
        <v>107.41791649777058</v>
      </c>
      <c r="AF559" s="986">
        <f t="shared" si="252"/>
        <v>107.41791649777058</v>
      </c>
    </row>
    <row r="560" spans="1:32" s="1010" customFormat="1" outlineLevel="4">
      <c r="A560" s="999"/>
      <c r="B560" s="999"/>
      <c r="C560" s="999"/>
      <c r="D560" s="1017">
        <f>+D559+1</f>
        <v>152</v>
      </c>
      <c r="E560" s="1014" t="s">
        <v>1840</v>
      </c>
      <c r="F560" s="988">
        <f>+'[11]7'!$P$166</f>
        <v>2729.6299999999997</v>
      </c>
      <c r="G560" s="987">
        <v>5.5121011467267837E-4</v>
      </c>
      <c r="H560" s="986">
        <f>IF(H218=0,100,H218/H218*100)</f>
        <v>100</v>
      </c>
      <c r="I560" s="986">
        <f t="shared" ref="I560:AF560" si="253">IF(I218=0,100,I218/H218*H560)</f>
        <v>100</v>
      </c>
      <c r="J560" s="986">
        <f t="shared" si="253"/>
        <v>100</v>
      </c>
      <c r="K560" s="986">
        <f t="shared" si="253"/>
        <v>100</v>
      </c>
      <c r="L560" s="986">
        <f t="shared" si="253"/>
        <v>100</v>
      </c>
      <c r="M560" s="986">
        <f t="shared" si="253"/>
        <v>100</v>
      </c>
      <c r="N560" s="986">
        <f t="shared" si="253"/>
        <v>100</v>
      </c>
      <c r="O560" s="986">
        <f t="shared" si="253"/>
        <v>100</v>
      </c>
      <c r="P560" s="986">
        <f t="shared" si="253"/>
        <v>100</v>
      </c>
      <c r="Q560" s="986">
        <f t="shared" si="253"/>
        <v>100</v>
      </c>
      <c r="R560" s="986">
        <f t="shared" si="253"/>
        <v>100</v>
      </c>
      <c r="S560" s="986">
        <f t="shared" si="253"/>
        <v>105.26315789473684</v>
      </c>
      <c r="T560" s="986">
        <f t="shared" si="253"/>
        <v>105.26315789473684</v>
      </c>
      <c r="U560" s="986">
        <f t="shared" si="253"/>
        <v>115.78947368421053</v>
      </c>
      <c r="V560" s="986">
        <f t="shared" si="253"/>
        <v>126.31578947368421</v>
      </c>
      <c r="W560" s="986">
        <f t="shared" si="253"/>
        <v>126.31578947368421</v>
      </c>
      <c r="X560" s="986">
        <f t="shared" si="253"/>
        <v>126.31578947368421</v>
      </c>
      <c r="Y560" s="986">
        <f t="shared" si="253"/>
        <v>126.31578947368421</v>
      </c>
      <c r="Z560" s="986">
        <f t="shared" si="253"/>
        <v>126.31578947368421</v>
      </c>
      <c r="AA560" s="986">
        <f t="shared" si="253"/>
        <v>126.31578947368421</v>
      </c>
      <c r="AB560" s="986">
        <f t="shared" si="253"/>
        <v>126.31578947368421</v>
      </c>
      <c r="AC560" s="986">
        <f t="shared" si="253"/>
        <v>115.78947368421052</v>
      </c>
      <c r="AD560" s="986">
        <f t="shared" si="253"/>
        <v>115.78947368421052</v>
      </c>
      <c r="AE560" s="986">
        <f t="shared" si="253"/>
        <v>115.78947368421052</v>
      </c>
      <c r="AF560" s="986">
        <f t="shared" si="253"/>
        <v>115.78947368421052</v>
      </c>
    </row>
    <row r="561" spans="1:32" outlineLevel="4">
      <c r="A561" s="999"/>
      <c r="B561" s="999"/>
      <c r="C561" s="999"/>
      <c r="D561" s="1017">
        <f>+D560+1</f>
        <v>153</v>
      </c>
      <c r="E561" s="1014" t="s">
        <v>1839</v>
      </c>
      <c r="F561" s="988">
        <f>+'[11]7'!$P$165</f>
        <v>6810.3422999999993</v>
      </c>
      <c r="G561" s="987">
        <v>1.3752521624334404E-3</v>
      </c>
      <c r="H561" s="986">
        <f>IF(H219=0,100,H219/H219*100)</f>
        <v>100</v>
      </c>
      <c r="I561" s="986">
        <f t="shared" ref="I561:AF561" si="254">IF(I219=0,100,I219/H219*H561)</f>
        <v>100</v>
      </c>
      <c r="J561" s="986">
        <f t="shared" si="254"/>
        <v>100</v>
      </c>
      <c r="K561" s="986">
        <f t="shared" si="254"/>
        <v>100</v>
      </c>
      <c r="L561" s="986">
        <f t="shared" si="254"/>
        <v>100</v>
      </c>
      <c r="M561" s="986">
        <f t="shared" si="254"/>
        <v>100</v>
      </c>
      <c r="N561" s="986">
        <f t="shared" si="254"/>
        <v>112.5</v>
      </c>
      <c r="O561" s="986">
        <f t="shared" si="254"/>
        <v>112.5</v>
      </c>
      <c r="P561" s="986">
        <f t="shared" si="254"/>
        <v>112.5</v>
      </c>
      <c r="Q561" s="986">
        <f t="shared" si="254"/>
        <v>112.5</v>
      </c>
      <c r="R561" s="986">
        <f t="shared" si="254"/>
        <v>112.5</v>
      </c>
      <c r="S561" s="986">
        <f t="shared" si="254"/>
        <v>112.5</v>
      </c>
      <c r="T561" s="986">
        <f t="shared" si="254"/>
        <v>112.5</v>
      </c>
      <c r="U561" s="986">
        <f t="shared" si="254"/>
        <v>112.5</v>
      </c>
      <c r="V561" s="986">
        <f t="shared" si="254"/>
        <v>125</v>
      </c>
      <c r="W561" s="986">
        <f t="shared" si="254"/>
        <v>125</v>
      </c>
      <c r="X561" s="986">
        <f t="shared" si="254"/>
        <v>125</v>
      </c>
      <c r="Y561" s="986">
        <f t="shared" si="254"/>
        <v>125</v>
      </c>
      <c r="Z561" s="986">
        <f t="shared" si="254"/>
        <v>125</v>
      </c>
      <c r="AA561" s="986">
        <f t="shared" si="254"/>
        <v>125</v>
      </c>
      <c r="AB561" s="986">
        <f t="shared" si="254"/>
        <v>125</v>
      </c>
      <c r="AC561" s="986">
        <f t="shared" si="254"/>
        <v>118.75</v>
      </c>
      <c r="AD561" s="986">
        <f t="shared" si="254"/>
        <v>118.75</v>
      </c>
      <c r="AE561" s="986">
        <f t="shared" si="254"/>
        <v>118.75</v>
      </c>
      <c r="AF561" s="986">
        <f t="shared" si="254"/>
        <v>118.75</v>
      </c>
    </row>
    <row r="562" spans="1:32" outlineLevel="1">
      <c r="A562" s="1954" t="s">
        <v>1838</v>
      </c>
      <c r="B562" s="1954"/>
      <c r="C562" s="1954"/>
      <c r="D562" s="1954"/>
      <c r="E562" s="1954"/>
      <c r="F562" s="1023">
        <f>+F563+F572+F576</f>
        <v>174634.65763199999</v>
      </c>
      <c r="G562" s="1022">
        <v>3.5264995497250047E-2</v>
      </c>
      <c r="H562" s="1021">
        <f t="shared" ref="H562:AF562" si="255">+($G$563*H563+$G$572*H572+$G$576*H576)/$G$562</f>
        <v>100</v>
      </c>
      <c r="I562" s="1021">
        <f t="shared" si="255"/>
        <v>100</v>
      </c>
      <c r="J562" s="1021">
        <f t="shared" si="255"/>
        <v>100</v>
      </c>
      <c r="K562" s="1021">
        <f t="shared" si="255"/>
        <v>100</v>
      </c>
      <c r="L562" s="1021">
        <f t="shared" si="255"/>
        <v>101.75564079493893</v>
      </c>
      <c r="M562" s="1021">
        <f t="shared" si="255"/>
        <v>106.86414511740649</v>
      </c>
      <c r="N562" s="1021">
        <f t="shared" si="255"/>
        <v>106.86414511740649</v>
      </c>
      <c r="O562" s="1021">
        <f t="shared" si="255"/>
        <v>106.93054740683311</v>
      </c>
      <c r="P562" s="1021">
        <f t="shared" si="255"/>
        <v>106.93054740683311</v>
      </c>
      <c r="Q562" s="1021">
        <f t="shared" si="255"/>
        <v>106.93054740683311</v>
      </c>
      <c r="R562" s="1021">
        <f t="shared" si="255"/>
        <v>106.93054740683311</v>
      </c>
      <c r="S562" s="1021">
        <f t="shared" si="255"/>
        <v>106.93054740683311</v>
      </c>
      <c r="T562" s="1021">
        <f t="shared" si="255"/>
        <v>107.74388304092763</v>
      </c>
      <c r="U562" s="1021">
        <f t="shared" si="255"/>
        <v>108.461520638647</v>
      </c>
      <c r="V562" s="1021">
        <f t="shared" si="255"/>
        <v>110.088191906836</v>
      </c>
      <c r="W562" s="1021">
        <f t="shared" si="255"/>
        <v>110.088191906836</v>
      </c>
      <c r="X562" s="1021">
        <f t="shared" si="255"/>
        <v>112.63388649038603</v>
      </c>
      <c r="Y562" s="1021">
        <f t="shared" si="255"/>
        <v>112.63388649038603</v>
      </c>
      <c r="Z562" s="1021">
        <f t="shared" si="255"/>
        <v>112.63388649038603</v>
      </c>
      <c r="AA562" s="1021">
        <f t="shared" si="255"/>
        <v>114.71746140945599</v>
      </c>
      <c r="AB562" s="1021">
        <f t="shared" si="255"/>
        <v>114.71746140945599</v>
      </c>
      <c r="AC562" s="1021">
        <f t="shared" si="255"/>
        <v>115.08941809917155</v>
      </c>
      <c r="AD562" s="1021">
        <f t="shared" si="255"/>
        <v>115.08941809917155</v>
      </c>
      <c r="AE562" s="1021">
        <f t="shared" si="255"/>
        <v>115.08941809917155</v>
      </c>
      <c r="AF562" s="1021">
        <f t="shared" si="255"/>
        <v>115.08941809917155</v>
      </c>
    </row>
    <row r="563" spans="1:32" outlineLevel="2">
      <c r="A563" s="999"/>
      <c r="B563" s="1955" t="s">
        <v>1837</v>
      </c>
      <c r="C563" s="1955"/>
      <c r="D563" s="1955"/>
      <c r="E563" s="1955"/>
      <c r="F563" s="1020">
        <f>+F564</f>
        <v>122153.90630399999</v>
      </c>
      <c r="G563" s="1019">
        <v>2.4667251129839373E-2</v>
      </c>
      <c r="H563" s="1018">
        <f t="shared" ref="H563:AF563" si="256">+$G$564*H564/$G$563</f>
        <v>99.999999999999972</v>
      </c>
      <c r="I563" s="1018">
        <f t="shared" si="256"/>
        <v>99.999999999999972</v>
      </c>
      <c r="J563" s="1018">
        <f t="shared" si="256"/>
        <v>99.999999999999972</v>
      </c>
      <c r="K563" s="1018">
        <f t="shared" si="256"/>
        <v>99.999999999999972</v>
      </c>
      <c r="L563" s="1018">
        <f t="shared" si="256"/>
        <v>102.50991342336543</v>
      </c>
      <c r="M563" s="1018">
        <f t="shared" si="256"/>
        <v>102.50991342336543</v>
      </c>
      <c r="N563" s="1018">
        <f t="shared" si="256"/>
        <v>102.50991342336543</v>
      </c>
      <c r="O563" s="1018">
        <f t="shared" si="256"/>
        <v>102.50991342336543</v>
      </c>
      <c r="P563" s="1018">
        <f t="shared" si="256"/>
        <v>102.50991342336543</v>
      </c>
      <c r="Q563" s="1018">
        <f t="shared" si="256"/>
        <v>102.50991342336543</v>
      </c>
      <c r="R563" s="1018">
        <f t="shared" si="256"/>
        <v>102.50991342336543</v>
      </c>
      <c r="S563" s="1018">
        <f t="shared" si="256"/>
        <v>102.50991342336543</v>
      </c>
      <c r="T563" s="1018">
        <f t="shared" si="256"/>
        <v>103.67268090495968</v>
      </c>
      <c r="U563" s="1018">
        <f t="shared" si="256"/>
        <v>104.5087746256746</v>
      </c>
      <c r="V563" s="1018">
        <f t="shared" si="256"/>
        <v>106.83430958886305</v>
      </c>
      <c r="W563" s="1018">
        <f t="shared" si="256"/>
        <v>106.83430958886305</v>
      </c>
      <c r="X563" s="1018">
        <f t="shared" si="256"/>
        <v>110.47370611317493</v>
      </c>
      <c r="Y563" s="1018">
        <f t="shared" si="256"/>
        <v>110.47370611317493</v>
      </c>
      <c r="Z563" s="1018">
        <f t="shared" si="256"/>
        <v>110.47370611317493</v>
      </c>
      <c r="AA563" s="1018">
        <f t="shared" si="256"/>
        <v>113.35751279788076</v>
      </c>
      <c r="AB563" s="1018">
        <f t="shared" si="256"/>
        <v>113.35751279788076</v>
      </c>
      <c r="AC563" s="1018">
        <f t="shared" si="256"/>
        <v>113.88927253547565</v>
      </c>
      <c r="AD563" s="1018">
        <f t="shared" si="256"/>
        <v>113.88927253547565</v>
      </c>
      <c r="AE563" s="1018">
        <f t="shared" si="256"/>
        <v>113.88927253547565</v>
      </c>
      <c r="AF563" s="1018">
        <f t="shared" si="256"/>
        <v>113.88927253547565</v>
      </c>
    </row>
    <row r="564" spans="1:32" s="1010" customFormat="1" outlineLevel="3">
      <c r="A564" s="999"/>
      <c r="B564" s="999"/>
      <c r="C564" s="1956" t="s">
        <v>1836</v>
      </c>
      <c r="D564" s="1956"/>
      <c r="E564" s="1956"/>
      <c r="F564" s="998">
        <f>SUM(F565:F571)</f>
        <v>122153.90630399999</v>
      </c>
      <c r="G564" s="997">
        <v>2.4667251129839373E-2</v>
      </c>
      <c r="H564" s="996">
        <f t="shared" ref="H564:AF564" si="257">+SUMPRODUCT(H565:H571,$G565:$G571)/$G564</f>
        <v>99.999999999999972</v>
      </c>
      <c r="I564" s="996">
        <f t="shared" si="257"/>
        <v>99.999999999999972</v>
      </c>
      <c r="J564" s="996">
        <f t="shared" si="257"/>
        <v>99.999999999999972</v>
      </c>
      <c r="K564" s="996">
        <f t="shared" si="257"/>
        <v>99.999999999999972</v>
      </c>
      <c r="L564" s="996">
        <f t="shared" si="257"/>
        <v>102.50991342336543</v>
      </c>
      <c r="M564" s="996">
        <f t="shared" si="257"/>
        <v>102.50991342336543</v>
      </c>
      <c r="N564" s="996">
        <f t="shared" si="257"/>
        <v>102.50991342336543</v>
      </c>
      <c r="O564" s="996">
        <f t="shared" si="257"/>
        <v>102.50991342336543</v>
      </c>
      <c r="P564" s="996">
        <f t="shared" si="257"/>
        <v>102.50991342336543</v>
      </c>
      <c r="Q564" s="996">
        <f t="shared" si="257"/>
        <v>102.50991342336543</v>
      </c>
      <c r="R564" s="996">
        <f t="shared" si="257"/>
        <v>102.50991342336543</v>
      </c>
      <c r="S564" s="996">
        <f t="shared" si="257"/>
        <v>102.50991342336543</v>
      </c>
      <c r="T564" s="996">
        <f t="shared" si="257"/>
        <v>103.67268090495968</v>
      </c>
      <c r="U564" s="996">
        <f t="shared" si="257"/>
        <v>104.5087746256746</v>
      </c>
      <c r="V564" s="996">
        <f t="shared" si="257"/>
        <v>106.83430958886305</v>
      </c>
      <c r="W564" s="996">
        <f t="shared" si="257"/>
        <v>106.83430958886305</v>
      </c>
      <c r="X564" s="996">
        <f t="shared" si="257"/>
        <v>110.47370611317493</v>
      </c>
      <c r="Y564" s="996">
        <f t="shared" si="257"/>
        <v>110.47370611317493</v>
      </c>
      <c r="Z564" s="996">
        <f t="shared" si="257"/>
        <v>110.47370611317493</v>
      </c>
      <c r="AA564" s="996">
        <f t="shared" si="257"/>
        <v>113.35751279788076</v>
      </c>
      <c r="AB564" s="996">
        <f t="shared" si="257"/>
        <v>113.35751279788076</v>
      </c>
      <c r="AC564" s="996">
        <f t="shared" si="257"/>
        <v>113.88927253547565</v>
      </c>
      <c r="AD564" s="996">
        <f t="shared" si="257"/>
        <v>113.88927253547565</v>
      </c>
      <c r="AE564" s="996">
        <f t="shared" si="257"/>
        <v>113.88927253547565</v>
      </c>
      <c r="AF564" s="996">
        <f t="shared" si="257"/>
        <v>113.88927253547565</v>
      </c>
    </row>
    <row r="565" spans="1:32" s="1010" customFormat="1" outlineLevel="4">
      <c r="A565" s="999"/>
      <c r="B565" s="999"/>
      <c r="C565" s="999"/>
      <c r="D565" s="1017">
        <f>+D561+1</f>
        <v>154</v>
      </c>
      <c r="E565" s="1026" t="s">
        <v>1835</v>
      </c>
      <c r="F565" s="988">
        <f>+'[11]7'!$P$182*0.3</f>
        <v>28407.317999999996</v>
      </c>
      <c r="G565" s="987">
        <v>5.7364554948191654E-3</v>
      </c>
      <c r="H565" s="986">
        <f t="shared" ref="H565:H571" si="258">IF(H223=0,100,H223/H223*100)</f>
        <v>100</v>
      </c>
      <c r="I565" s="986">
        <f t="shared" ref="I565:AF565" si="259">IF(I223=0,100,I223/H223*H565)</f>
        <v>100</v>
      </c>
      <c r="J565" s="986">
        <f t="shared" si="259"/>
        <v>100</v>
      </c>
      <c r="K565" s="986">
        <f t="shared" si="259"/>
        <v>100</v>
      </c>
      <c r="L565" s="986">
        <f t="shared" si="259"/>
        <v>100</v>
      </c>
      <c r="M565" s="986">
        <f t="shared" si="259"/>
        <v>100</v>
      </c>
      <c r="N565" s="986">
        <f t="shared" si="259"/>
        <v>100</v>
      </c>
      <c r="O565" s="986">
        <f t="shared" si="259"/>
        <v>100</v>
      </c>
      <c r="P565" s="986">
        <f t="shared" si="259"/>
        <v>100</v>
      </c>
      <c r="Q565" s="986">
        <f t="shared" si="259"/>
        <v>100</v>
      </c>
      <c r="R565" s="986">
        <f t="shared" si="259"/>
        <v>100</v>
      </c>
      <c r="S565" s="986">
        <f t="shared" si="259"/>
        <v>100</v>
      </c>
      <c r="T565" s="986">
        <f t="shared" si="259"/>
        <v>100</v>
      </c>
      <c r="U565" s="986">
        <f t="shared" si="259"/>
        <v>100</v>
      </c>
      <c r="V565" s="986">
        <f t="shared" si="259"/>
        <v>100</v>
      </c>
      <c r="W565" s="986">
        <f t="shared" si="259"/>
        <v>100</v>
      </c>
      <c r="X565" s="986">
        <f t="shared" si="259"/>
        <v>100</v>
      </c>
      <c r="Y565" s="986">
        <f t="shared" si="259"/>
        <v>100</v>
      </c>
      <c r="Z565" s="986">
        <f t="shared" si="259"/>
        <v>100</v>
      </c>
      <c r="AA565" s="986">
        <f t="shared" si="259"/>
        <v>112.00000000000001</v>
      </c>
      <c r="AB565" s="986">
        <f t="shared" si="259"/>
        <v>112.00000000000001</v>
      </c>
      <c r="AC565" s="986">
        <f t="shared" si="259"/>
        <v>112.00000000000001</v>
      </c>
      <c r="AD565" s="986">
        <f t="shared" si="259"/>
        <v>112.00000000000001</v>
      </c>
      <c r="AE565" s="986">
        <f t="shared" si="259"/>
        <v>112.00000000000001</v>
      </c>
      <c r="AF565" s="986">
        <f t="shared" si="259"/>
        <v>112.00000000000001</v>
      </c>
    </row>
    <row r="566" spans="1:32" s="1010" customFormat="1" outlineLevel="4">
      <c r="A566" s="999"/>
      <c r="B566" s="999"/>
      <c r="C566" s="999"/>
      <c r="D566" s="1017">
        <f t="shared" ref="D566:D571" si="260">+D565+1</f>
        <v>155</v>
      </c>
      <c r="E566" s="1014" t="s">
        <v>1834</v>
      </c>
      <c r="F566" s="988">
        <f>+'[11]7'!$P$182*0.3</f>
        <v>28407.317999999996</v>
      </c>
      <c r="G566" s="987">
        <v>5.7364554948191654E-3</v>
      </c>
      <c r="H566" s="986">
        <f t="shared" si="258"/>
        <v>100</v>
      </c>
      <c r="I566" s="986">
        <f t="shared" ref="I566:AF566" si="261">IF(I224=0,100,I224/H224*H566)</f>
        <v>100</v>
      </c>
      <c r="J566" s="986">
        <f t="shared" si="261"/>
        <v>100</v>
      </c>
      <c r="K566" s="986">
        <f t="shared" si="261"/>
        <v>100</v>
      </c>
      <c r="L566" s="986">
        <f t="shared" si="261"/>
        <v>105</v>
      </c>
      <c r="M566" s="986">
        <f t="shared" si="261"/>
        <v>105</v>
      </c>
      <c r="N566" s="986">
        <f t="shared" si="261"/>
        <v>105</v>
      </c>
      <c r="O566" s="986">
        <f t="shared" si="261"/>
        <v>105</v>
      </c>
      <c r="P566" s="986">
        <f t="shared" si="261"/>
        <v>105</v>
      </c>
      <c r="Q566" s="986">
        <f t="shared" si="261"/>
        <v>105</v>
      </c>
      <c r="R566" s="986">
        <f t="shared" si="261"/>
        <v>105</v>
      </c>
      <c r="S566" s="986">
        <f t="shared" si="261"/>
        <v>105</v>
      </c>
      <c r="T566" s="986">
        <f t="shared" si="261"/>
        <v>110</v>
      </c>
      <c r="U566" s="986">
        <f t="shared" si="261"/>
        <v>110</v>
      </c>
      <c r="V566" s="986">
        <f t="shared" si="261"/>
        <v>119.99999999999999</v>
      </c>
      <c r="W566" s="986">
        <f t="shared" si="261"/>
        <v>119.99999999999999</v>
      </c>
      <c r="X566" s="986">
        <f t="shared" si="261"/>
        <v>129.99999999999997</v>
      </c>
      <c r="Y566" s="986">
        <f t="shared" si="261"/>
        <v>129.99999999999997</v>
      </c>
      <c r="Z566" s="986">
        <f t="shared" si="261"/>
        <v>129.99999999999997</v>
      </c>
      <c r="AA566" s="986">
        <f t="shared" si="261"/>
        <v>129.99999999999997</v>
      </c>
      <c r="AB566" s="986">
        <f t="shared" si="261"/>
        <v>129.99999999999997</v>
      </c>
      <c r="AC566" s="986">
        <f t="shared" si="261"/>
        <v>129.99999999999997</v>
      </c>
      <c r="AD566" s="986">
        <f t="shared" si="261"/>
        <v>129.99999999999997</v>
      </c>
      <c r="AE566" s="986">
        <f t="shared" si="261"/>
        <v>129.99999999999997</v>
      </c>
      <c r="AF566" s="986">
        <f t="shared" si="261"/>
        <v>129.99999999999997</v>
      </c>
    </row>
    <row r="567" spans="1:32" s="1010" customFormat="1" outlineLevel="4">
      <c r="A567" s="999"/>
      <c r="B567" s="999"/>
      <c r="C567" s="999"/>
      <c r="D567" s="1017">
        <f t="shared" si="260"/>
        <v>156</v>
      </c>
      <c r="E567" s="1014" t="s">
        <v>1833</v>
      </c>
      <c r="F567" s="988">
        <f>+'[11]7'!$P$182*0.1</f>
        <v>9469.1059999999979</v>
      </c>
      <c r="G567" s="987">
        <v>1.9121518316063885E-3</v>
      </c>
      <c r="H567" s="986">
        <f t="shared" si="258"/>
        <v>100</v>
      </c>
      <c r="I567" s="986">
        <f t="shared" ref="I567:AF567" si="262">IF(I225=0,100,I225/H225*H567)</f>
        <v>100</v>
      </c>
      <c r="J567" s="986">
        <f t="shared" si="262"/>
        <v>100</v>
      </c>
      <c r="K567" s="986">
        <f t="shared" si="262"/>
        <v>100</v>
      </c>
      <c r="L567" s="986">
        <f t="shared" si="262"/>
        <v>100</v>
      </c>
      <c r="M567" s="986">
        <f t="shared" si="262"/>
        <v>100</v>
      </c>
      <c r="N567" s="986">
        <f t="shared" si="262"/>
        <v>100</v>
      </c>
      <c r="O567" s="986">
        <f t="shared" si="262"/>
        <v>100</v>
      </c>
      <c r="P567" s="986">
        <f t="shared" si="262"/>
        <v>100</v>
      </c>
      <c r="Q567" s="986">
        <f t="shared" si="262"/>
        <v>100</v>
      </c>
      <c r="R567" s="986">
        <f t="shared" si="262"/>
        <v>100</v>
      </c>
      <c r="S567" s="986">
        <f t="shared" si="262"/>
        <v>100</v>
      </c>
      <c r="T567" s="986">
        <f t="shared" si="262"/>
        <v>100</v>
      </c>
      <c r="U567" s="986">
        <f t="shared" si="262"/>
        <v>109.09090909090908</v>
      </c>
      <c r="V567" s="986">
        <f t="shared" si="262"/>
        <v>109.09090909090908</v>
      </c>
      <c r="W567" s="986">
        <f t="shared" si="262"/>
        <v>109.09090909090908</v>
      </c>
      <c r="X567" s="986">
        <f t="shared" si="262"/>
        <v>109.09090909090908</v>
      </c>
      <c r="Y567" s="986">
        <f t="shared" si="262"/>
        <v>109.09090909090908</v>
      </c>
      <c r="Z567" s="986">
        <f t="shared" si="262"/>
        <v>109.09090909090908</v>
      </c>
      <c r="AA567" s="986">
        <f t="shared" si="262"/>
        <v>101.81818181818181</v>
      </c>
      <c r="AB567" s="986">
        <f t="shared" si="262"/>
        <v>101.81818181818181</v>
      </c>
      <c r="AC567" s="986">
        <f t="shared" si="262"/>
        <v>101.81818181818181</v>
      </c>
      <c r="AD567" s="986">
        <f t="shared" si="262"/>
        <v>101.81818181818181</v>
      </c>
      <c r="AE567" s="986">
        <f t="shared" si="262"/>
        <v>101.81818181818181</v>
      </c>
      <c r="AF567" s="986">
        <f t="shared" si="262"/>
        <v>101.81818181818181</v>
      </c>
    </row>
    <row r="568" spans="1:32" s="1010" customFormat="1" outlineLevel="4">
      <c r="A568" s="999"/>
      <c r="B568" s="999"/>
      <c r="C568" s="999"/>
      <c r="D568" s="1017">
        <f t="shared" si="260"/>
        <v>157</v>
      </c>
      <c r="E568" s="1014" t="s">
        <v>1832</v>
      </c>
      <c r="F568" s="988">
        <f>+'[11]7'!$P$182*0.1</f>
        <v>9469.1059999999979</v>
      </c>
      <c r="G568" s="987">
        <v>1.9121518316063885E-3</v>
      </c>
      <c r="H568" s="986">
        <f t="shared" si="258"/>
        <v>100</v>
      </c>
      <c r="I568" s="986">
        <f t="shared" ref="I568:AF568" si="263">IF(I226=0,100,I226/H226*H568)</f>
        <v>100</v>
      </c>
      <c r="J568" s="986">
        <f t="shared" si="263"/>
        <v>100</v>
      </c>
      <c r="K568" s="986">
        <f t="shared" si="263"/>
        <v>100</v>
      </c>
      <c r="L568" s="986">
        <f t="shared" si="263"/>
        <v>100</v>
      </c>
      <c r="M568" s="986">
        <f t="shared" si="263"/>
        <v>100</v>
      </c>
      <c r="N568" s="986">
        <f t="shared" si="263"/>
        <v>100</v>
      </c>
      <c r="O568" s="986">
        <f t="shared" si="263"/>
        <v>100</v>
      </c>
      <c r="P568" s="986">
        <f t="shared" si="263"/>
        <v>100</v>
      </c>
      <c r="Q568" s="986">
        <f t="shared" si="263"/>
        <v>100</v>
      </c>
      <c r="R568" s="986">
        <f t="shared" si="263"/>
        <v>100</v>
      </c>
      <c r="S568" s="986">
        <f t="shared" si="263"/>
        <v>100</v>
      </c>
      <c r="T568" s="986">
        <f t="shared" si="263"/>
        <v>100</v>
      </c>
      <c r="U568" s="986">
        <f t="shared" si="263"/>
        <v>101.69491525423729</v>
      </c>
      <c r="V568" s="986">
        <f t="shared" si="263"/>
        <v>101.69491525423729</v>
      </c>
      <c r="W568" s="986">
        <f t="shared" si="263"/>
        <v>101.69491525423729</v>
      </c>
      <c r="X568" s="986">
        <f t="shared" si="263"/>
        <v>118.64406779661017</v>
      </c>
      <c r="Y568" s="986">
        <f t="shared" si="263"/>
        <v>118.64406779661017</v>
      </c>
      <c r="Z568" s="986">
        <f t="shared" si="263"/>
        <v>118.64406779661017</v>
      </c>
      <c r="AA568" s="986">
        <f t="shared" si="263"/>
        <v>127.11864406779661</v>
      </c>
      <c r="AB568" s="986">
        <f t="shared" si="263"/>
        <v>127.11864406779661</v>
      </c>
      <c r="AC568" s="986">
        <f t="shared" si="263"/>
        <v>135.59322033898306</v>
      </c>
      <c r="AD568" s="986">
        <f t="shared" si="263"/>
        <v>135.59322033898306</v>
      </c>
      <c r="AE568" s="986">
        <f t="shared" si="263"/>
        <v>135.59322033898306</v>
      </c>
      <c r="AF568" s="986">
        <f t="shared" si="263"/>
        <v>135.59322033898306</v>
      </c>
    </row>
    <row r="569" spans="1:32" s="1010" customFormat="1" outlineLevel="4">
      <c r="A569" s="999"/>
      <c r="B569" s="999"/>
      <c r="C569" s="999"/>
      <c r="D569" s="1017">
        <f t="shared" si="260"/>
        <v>158</v>
      </c>
      <c r="E569" s="1014" t="s">
        <v>1831</v>
      </c>
      <c r="F569" s="988">
        <f>+'[11]7'!$P$183</f>
        <v>25780.931800000002</v>
      </c>
      <c r="G569" s="987">
        <v>5.2060940031603197E-3</v>
      </c>
      <c r="H569" s="986">
        <f t="shared" si="258"/>
        <v>100</v>
      </c>
      <c r="I569" s="986">
        <f t="shared" ref="I569:AF569" si="264">IF(I227=0,100,I227/H227*H569)</f>
        <v>100</v>
      </c>
      <c r="J569" s="986">
        <f t="shared" si="264"/>
        <v>100</v>
      </c>
      <c r="K569" s="986">
        <f t="shared" si="264"/>
        <v>100</v>
      </c>
      <c r="L569" s="986">
        <f t="shared" si="264"/>
        <v>106.38297872340425</v>
      </c>
      <c r="M569" s="986">
        <f t="shared" si="264"/>
        <v>106.38297872340425</v>
      </c>
      <c r="N569" s="986">
        <f t="shared" si="264"/>
        <v>106.38297872340425</v>
      </c>
      <c r="O569" s="986">
        <f t="shared" si="264"/>
        <v>106.38297872340425</v>
      </c>
      <c r="P569" s="986">
        <f t="shared" si="264"/>
        <v>106.38297872340425</v>
      </c>
      <c r="Q569" s="986">
        <f t="shared" si="264"/>
        <v>106.38297872340425</v>
      </c>
      <c r="R569" s="986">
        <f t="shared" si="264"/>
        <v>106.38297872340425</v>
      </c>
      <c r="S569" s="986">
        <f t="shared" si="264"/>
        <v>106.38297872340425</v>
      </c>
      <c r="T569" s="986">
        <f t="shared" si="264"/>
        <v>106.38297872340425</v>
      </c>
      <c r="U569" s="986">
        <f t="shared" si="264"/>
        <v>106.38297872340425</v>
      </c>
      <c r="V569" s="986">
        <f t="shared" si="264"/>
        <v>106.38297872340425</v>
      </c>
      <c r="W569" s="986">
        <f t="shared" si="264"/>
        <v>106.38297872340425</v>
      </c>
      <c r="X569" s="986">
        <f t="shared" si="264"/>
        <v>106.38297872340425</v>
      </c>
      <c r="Y569" s="986">
        <f t="shared" si="264"/>
        <v>106.38297872340425</v>
      </c>
      <c r="Z569" s="986">
        <f t="shared" si="264"/>
        <v>106.38297872340425</v>
      </c>
      <c r="AA569" s="986">
        <f t="shared" si="264"/>
        <v>106.38297872340425</v>
      </c>
      <c r="AB569" s="986">
        <f t="shared" si="264"/>
        <v>106.38297872340425</v>
      </c>
      <c r="AC569" s="986">
        <f t="shared" si="264"/>
        <v>106.38297872340425</v>
      </c>
      <c r="AD569" s="986">
        <f t="shared" si="264"/>
        <v>106.38297872340425</v>
      </c>
      <c r="AE569" s="986">
        <f t="shared" si="264"/>
        <v>106.38297872340425</v>
      </c>
      <c r="AF569" s="986">
        <f t="shared" si="264"/>
        <v>106.38297872340425</v>
      </c>
    </row>
    <row r="570" spans="1:32" s="1010" customFormat="1" outlineLevel="4">
      <c r="A570" s="999"/>
      <c r="B570" s="999"/>
      <c r="C570" s="999"/>
      <c r="D570" s="1017">
        <f t="shared" si="260"/>
        <v>159</v>
      </c>
      <c r="E570" s="1026" t="s">
        <v>1830</v>
      </c>
      <c r="F570" s="988">
        <f>+'[11]7'!$P$182*0.2</f>
        <v>18938.211999999996</v>
      </c>
      <c r="G570" s="987">
        <v>3.824303663212777E-3</v>
      </c>
      <c r="H570" s="986">
        <f t="shared" si="258"/>
        <v>100</v>
      </c>
      <c r="I570" s="986">
        <f t="shared" ref="I570:AF570" si="265">IF(I228=0,100,I228/H228*H570)</f>
        <v>100</v>
      </c>
      <c r="J570" s="986">
        <f t="shared" si="265"/>
        <v>100</v>
      </c>
      <c r="K570" s="986">
        <f t="shared" si="265"/>
        <v>100</v>
      </c>
      <c r="L570" s="986">
        <f t="shared" si="265"/>
        <v>100</v>
      </c>
      <c r="M570" s="986">
        <f t="shared" si="265"/>
        <v>100</v>
      </c>
      <c r="N570" s="986">
        <f t="shared" si="265"/>
        <v>100</v>
      </c>
      <c r="O570" s="986">
        <f t="shared" si="265"/>
        <v>100</v>
      </c>
      <c r="P570" s="986">
        <f t="shared" si="265"/>
        <v>100</v>
      </c>
      <c r="Q570" s="986">
        <f t="shared" si="265"/>
        <v>100</v>
      </c>
      <c r="R570" s="986">
        <f t="shared" si="265"/>
        <v>100</v>
      </c>
      <c r="S570" s="986">
        <f t="shared" si="265"/>
        <v>100</v>
      </c>
      <c r="T570" s="986">
        <f t="shared" si="265"/>
        <v>100</v>
      </c>
      <c r="U570" s="986">
        <f t="shared" si="265"/>
        <v>100</v>
      </c>
      <c r="V570" s="986">
        <f t="shared" si="265"/>
        <v>100</v>
      </c>
      <c r="W570" s="986">
        <f t="shared" si="265"/>
        <v>100</v>
      </c>
      <c r="X570" s="986">
        <f t="shared" si="265"/>
        <v>100</v>
      </c>
      <c r="Y570" s="986">
        <f t="shared" si="265"/>
        <v>100</v>
      </c>
      <c r="Z570" s="986">
        <f t="shared" si="265"/>
        <v>100</v>
      </c>
      <c r="AA570" s="986">
        <f t="shared" si="265"/>
        <v>100</v>
      </c>
      <c r="AB570" s="986">
        <f t="shared" si="265"/>
        <v>100</v>
      </c>
      <c r="AC570" s="986">
        <f t="shared" si="265"/>
        <v>100</v>
      </c>
      <c r="AD570" s="986">
        <f t="shared" si="265"/>
        <v>100</v>
      </c>
      <c r="AE570" s="986">
        <f t="shared" si="265"/>
        <v>100</v>
      </c>
      <c r="AF570" s="986">
        <f t="shared" si="265"/>
        <v>100</v>
      </c>
    </row>
    <row r="571" spans="1:32" outlineLevel="4">
      <c r="A571" s="999"/>
      <c r="B571" s="999"/>
      <c r="C571" s="999"/>
      <c r="D571" s="1017">
        <f t="shared" si="260"/>
        <v>160</v>
      </c>
      <c r="E571" s="1026" t="s">
        <v>1829</v>
      </c>
      <c r="F571" s="988">
        <f>+'[11]7'!$P$184+'[11]7'!$P$186+'[11]7'!$P$185</f>
        <v>1681.9145040000003</v>
      </c>
      <c r="G571" s="987">
        <v>3.3963881061516805E-4</v>
      </c>
      <c r="H571" s="986">
        <f t="shared" si="258"/>
        <v>100</v>
      </c>
      <c r="I571" s="986">
        <f t="shared" ref="I571:AF571" si="266">IF(I229=0,100,I229/H229*H571)</f>
        <v>100</v>
      </c>
      <c r="J571" s="986">
        <f t="shared" si="266"/>
        <v>100</v>
      </c>
      <c r="K571" s="986">
        <f t="shared" si="266"/>
        <v>100</v>
      </c>
      <c r="L571" s="986">
        <f t="shared" si="266"/>
        <v>100</v>
      </c>
      <c r="M571" s="986">
        <f t="shared" si="266"/>
        <v>100</v>
      </c>
      <c r="N571" s="986">
        <f t="shared" si="266"/>
        <v>100</v>
      </c>
      <c r="O571" s="986">
        <f t="shared" si="266"/>
        <v>100</v>
      </c>
      <c r="P571" s="986">
        <f t="shared" si="266"/>
        <v>100</v>
      </c>
      <c r="Q571" s="986">
        <f t="shared" si="266"/>
        <v>100</v>
      </c>
      <c r="R571" s="986">
        <f t="shared" si="266"/>
        <v>100</v>
      </c>
      <c r="S571" s="986">
        <f t="shared" si="266"/>
        <v>100</v>
      </c>
      <c r="T571" s="986">
        <f t="shared" si="266"/>
        <v>100</v>
      </c>
      <c r="U571" s="986">
        <f t="shared" si="266"/>
        <v>100</v>
      </c>
      <c r="V571" s="986">
        <f t="shared" si="266"/>
        <v>100</v>
      </c>
      <c r="W571" s="986">
        <f t="shared" si="266"/>
        <v>100</v>
      </c>
      <c r="X571" s="986">
        <f t="shared" si="266"/>
        <v>100</v>
      </c>
      <c r="Y571" s="986">
        <f t="shared" si="266"/>
        <v>100</v>
      </c>
      <c r="Z571" s="986">
        <f t="shared" si="266"/>
        <v>100</v>
      </c>
      <c r="AA571" s="986">
        <f t="shared" si="266"/>
        <v>100</v>
      </c>
      <c r="AB571" s="986">
        <f t="shared" si="266"/>
        <v>100</v>
      </c>
      <c r="AC571" s="986">
        <f t="shared" si="266"/>
        <v>90.909090909090907</v>
      </c>
      <c r="AD571" s="986">
        <f t="shared" si="266"/>
        <v>90.909090909090907</v>
      </c>
      <c r="AE571" s="986">
        <f t="shared" si="266"/>
        <v>90.909090909090907</v>
      </c>
      <c r="AF571" s="986">
        <f t="shared" si="266"/>
        <v>90.909090909090907</v>
      </c>
    </row>
    <row r="572" spans="1:32" outlineLevel="2">
      <c r="A572" s="999"/>
      <c r="B572" s="1955" t="s">
        <v>1828</v>
      </c>
      <c r="C572" s="1955"/>
      <c r="D572" s="1955"/>
      <c r="E572" s="1955"/>
      <c r="F572" s="1020">
        <f>+F573</f>
        <v>21705.215228000001</v>
      </c>
      <c r="G572" s="1019">
        <v>4.3830607719071981E-3</v>
      </c>
      <c r="H572" s="1018">
        <f t="shared" ref="H572:AF572" si="267">+$G$573*H573/$G$572</f>
        <v>100</v>
      </c>
      <c r="I572" s="1018">
        <f t="shared" si="267"/>
        <v>100</v>
      </c>
      <c r="J572" s="1018">
        <f t="shared" si="267"/>
        <v>100</v>
      </c>
      <c r="K572" s="1018">
        <f t="shared" si="267"/>
        <v>100</v>
      </c>
      <c r="L572" s="1018">
        <f t="shared" si="267"/>
        <v>100</v>
      </c>
      <c r="M572" s="1018">
        <f t="shared" si="267"/>
        <v>141.1017303442753</v>
      </c>
      <c r="N572" s="1018">
        <f t="shared" si="267"/>
        <v>141.1017303442753</v>
      </c>
      <c r="O572" s="1018">
        <f t="shared" si="267"/>
        <v>141.63598632645238</v>
      </c>
      <c r="P572" s="1018">
        <f t="shared" si="267"/>
        <v>141.63598632645238</v>
      </c>
      <c r="Q572" s="1018">
        <f t="shared" si="267"/>
        <v>141.63598632645238</v>
      </c>
      <c r="R572" s="1018">
        <f t="shared" si="267"/>
        <v>141.63598632645238</v>
      </c>
      <c r="S572" s="1018">
        <f t="shared" si="267"/>
        <v>141.63598632645238</v>
      </c>
      <c r="T572" s="1018">
        <f t="shared" si="267"/>
        <v>141.63598632645238</v>
      </c>
      <c r="U572" s="1018">
        <f t="shared" si="267"/>
        <v>142.70449829080653</v>
      </c>
      <c r="V572" s="1018">
        <f t="shared" si="267"/>
        <v>142.70449829080653</v>
      </c>
      <c r="W572" s="1018">
        <f t="shared" si="267"/>
        <v>142.70449829080653</v>
      </c>
      <c r="X572" s="1018">
        <f t="shared" si="267"/>
        <v>142.70449829080653</v>
      </c>
      <c r="Y572" s="1018">
        <f t="shared" si="267"/>
        <v>142.70449829080653</v>
      </c>
      <c r="Z572" s="1018">
        <f t="shared" si="267"/>
        <v>142.70449829080653</v>
      </c>
      <c r="AA572" s="1018">
        <f t="shared" si="267"/>
        <v>143.23875427298361</v>
      </c>
      <c r="AB572" s="1018">
        <f t="shared" si="267"/>
        <v>143.23875427298361</v>
      </c>
      <c r="AC572" s="1018">
        <f t="shared" si="267"/>
        <v>143.23875427298361</v>
      </c>
      <c r="AD572" s="1018">
        <f t="shared" si="267"/>
        <v>143.23875427298361</v>
      </c>
      <c r="AE572" s="1018">
        <f t="shared" si="267"/>
        <v>143.23875427298361</v>
      </c>
      <c r="AF572" s="1018">
        <f t="shared" si="267"/>
        <v>143.23875427298361</v>
      </c>
    </row>
    <row r="573" spans="1:32" s="1010" customFormat="1" outlineLevel="3">
      <c r="A573" s="999"/>
      <c r="B573" s="999"/>
      <c r="C573" s="1956" t="s">
        <v>1827</v>
      </c>
      <c r="D573" s="1956"/>
      <c r="E573" s="1956"/>
      <c r="F573" s="998">
        <f>SUM(F574:F575)</f>
        <v>21705.215228000001</v>
      </c>
      <c r="G573" s="997">
        <v>4.3830607719071981E-3</v>
      </c>
      <c r="H573" s="996">
        <f t="shared" ref="H573:AF573" si="268">+SUMPRODUCT(H574:H575,$G574:$G575)/$G573</f>
        <v>100</v>
      </c>
      <c r="I573" s="996">
        <f t="shared" si="268"/>
        <v>100</v>
      </c>
      <c r="J573" s="996">
        <f t="shared" si="268"/>
        <v>100</v>
      </c>
      <c r="K573" s="996">
        <f t="shared" si="268"/>
        <v>100</v>
      </c>
      <c r="L573" s="996">
        <f t="shared" si="268"/>
        <v>100</v>
      </c>
      <c r="M573" s="996">
        <f t="shared" si="268"/>
        <v>141.1017303442753</v>
      </c>
      <c r="N573" s="996">
        <f t="shared" si="268"/>
        <v>141.1017303442753</v>
      </c>
      <c r="O573" s="996">
        <f t="shared" si="268"/>
        <v>141.63598632645238</v>
      </c>
      <c r="P573" s="996">
        <f t="shared" si="268"/>
        <v>141.63598632645238</v>
      </c>
      <c r="Q573" s="996">
        <f t="shared" si="268"/>
        <v>141.63598632645238</v>
      </c>
      <c r="R573" s="996">
        <f t="shared" si="268"/>
        <v>141.63598632645238</v>
      </c>
      <c r="S573" s="996">
        <f t="shared" si="268"/>
        <v>141.63598632645238</v>
      </c>
      <c r="T573" s="996">
        <f t="shared" si="268"/>
        <v>141.63598632645238</v>
      </c>
      <c r="U573" s="996">
        <f t="shared" si="268"/>
        <v>142.70449829080653</v>
      </c>
      <c r="V573" s="996">
        <f t="shared" si="268"/>
        <v>142.70449829080653</v>
      </c>
      <c r="W573" s="996">
        <f t="shared" si="268"/>
        <v>142.70449829080653</v>
      </c>
      <c r="X573" s="996">
        <f t="shared" si="268"/>
        <v>142.70449829080653</v>
      </c>
      <c r="Y573" s="996">
        <f t="shared" si="268"/>
        <v>142.70449829080653</v>
      </c>
      <c r="Z573" s="996">
        <f t="shared" si="268"/>
        <v>142.70449829080653</v>
      </c>
      <c r="AA573" s="996">
        <f t="shared" si="268"/>
        <v>143.23875427298361</v>
      </c>
      <c r="AB573" s="996">
        <f t="shared" si="268"/>
        <v>143.23875427298361</v>
      </c>
      <c r="AC573" s="996">
        <f t="shared" si="268"/>
        <v>143.23875427298361</v>
      </c>
      <c r="AD573" s="996">
        <f t="shared" si="268"/>
        <v>143.23875427298361</v>
      </c>
      <c r="AE573" s="996">
        <f t="shared" si="268"/>
        <v>143.23875427298361</v>
      </c>
      <c r="AF573" s="996">
        <f t="shared" si="268"/>
        <v>143.23875427298361</v>
      </c>
    </row>
    <row r="574" spans="1:32" s="1010" customFormat="1" outlineLevel="4">
      <c r="A574" s="999"/>
      <c r="B574" s="999"/>
      <c r="C574" s="999"/>
      <c r="D574" s="1013">
        <f>+D571+1</f>
        <v>161</v>
      </c>
      <c r="E574" s="1014" t="s">
        <v>1826</v>
      </c>
      <c r="F574" s="988">
        <f>+'[11]7'!$P$188</f>
        <v>1159.6141079999998</v>
      </c>
      <c r="G574" s="987">
        <v>2.3416764376370995E-4</v>
      </c>
      <c r="H574" s="986">
        <f>IF(H232=0,100,H232/H232*100)</f>
        <v>100</v>
      </c>
      <c r="I574" s="986">
        <f t="shared" ref="I574:AF574" si="269">IF(I232=0,100,I232/H232*H574)</f>
        <v>100</v>
      </c>
      <c r="J574" s="986">
        <f t="shared" si="269"/>
        <v>100</v>
      </c>
      <c r="K574" s="986">
        <f t="shared" si="269"/>
        <v>100</v>
      </c>
      <c r="L574" s="986">
        <f t="shared" si="269"/>
        <v>100</v>
      </c>
      <c r="M574" s="986">
        <f t="shared" si="269"/>
        <v>110.00000000000001</v>
      </c>
      <c r="N574" s="986">
        <f t="shared" si="269"/>
        <v>110.00000000000001</v>
      </c>
      <c r="O574" s="986">
        <f t="shared" si="269"/>
        <v>120</v>
      </c>
      <c r="P574" s="986">
        <f t="shared" si="269"/>
        <v>120</v>
      </c>
      <c r="Q574" s="986">
        <f t="shared" si="269"/>
        <v>120</v>
      </c>
      <c r="R574" s="986">
        <f t="shared" si="269"/>
        <v>120</v>
      </c>
      <c r="S574" s="986">
        <f t="shared" si="269"/>
        <v>120</v>
      </c>
      <c r="T574" s="986">
        <f t="shared" si="269"/>
        <v>120</v>
      </c>
      <c r="U574" s="986">
        <f t="shared" si="269"/>
        <v>140</v>
      </c>
      <c r="V574" s="986">
        <f t="shared" si="269"/>
        <v>140</v>
      </c>
      <c r="W574" s="986">
        <f t="shared" si="269"/>
        <v>140</v>
      </c>
      <c r="X574" s="986">
        <f t="shared" si="269"/>
        <v>140</v>
      </c>
      <c r="Y574" s="986">
        <f t="shared" si="269"/>
        <v>140</v>
      </c>
      <c r="Z574" s="986">
        <f t="shared" si="269"/>
        <v>140</v>
      </c>
      <c r="AA574" s="986">
        <f t="shared" si="269"/>
        <v>150</v>
      </c>
      <c r="AB574" s="986">
        <f t="shared" si="269"/>
        <v>150</v>
      </c>
      <c r="AC574" s="986">
        <f t="shared" si="269"/>
        <v>150</v>
      </c>
      <c r="AD574" s="986">
        <f t="shared" si="269"/>
        <v>150</v>
      </c>
      <c r="AE574" s="986">
        <f t="shared" si="269"/>
        <v>150</v>
      </c>
      <c r="AF574" s="986">
        <f t="shared" si="269"/>
        <v>150</v>
      </c>
    </row>
    <row r="575" spans="1:32" outlineLevel="4">
      <c r="A575" s="999"/>
      <c r="B575" s="999"/>
      <c r="C575" s="999"/>
      <c r="D575" s="1013">
        <f>+D574+1</f>
        <v>162</v>
      </c>
      <c r="E575" s="1016" t="s">
        <v>1825</v>
      </c>
      <c r="F575" s="988">
        <f>+'[11]7'!$P$187+'[11]7'!$P$189</f>
        <v>20545.601119999999</v>
      </c>
      <c r="G575" s="987">
        <v>4.1488931281434879E-3</v>
      </c>
      <c r="H575" s="986">
        <f>IF(H233=0,100,H233/H233*100)</f>
        <v>100</v>
      </c>
      <c r="I575" s="986">
        <f t="shared" ref="I575:AF575" si="270">IF(I233=0,100,I233/H233*H575)</f>
        <v>100</v>
      </c>
      <c r="J575" s="986">
        <f t="shared" si="270"/>
        <v>100</v>
      </c>
      <c r="K575" s="986">
        <f t="shared" si="270"/>
        <v>100</v>
      </c>
      <c r="L575" s="986">
        <f t="shared" si="270"/>
        <v>100</v>
      </c>
      <c r="M575" s="986">
        <f t="shared" si="270"/>
        <v>142.85714285714286</v>
      </c>
      <c r="N575" s="986">
        <f t="shared" si="270"/>
        <v>142.85714285714286</v>
      </c>
      <c r="O575" s="986">
        <f t="shared" si="270"/>
        <v>142.85714285714286</v>
      </c>
      <c r="P575" s="986">
        <f t="shared" si="270"/>
        <v>142.85714285714286</v>
      </c>
      <c r="Q575" s="986">
        <f t="shared" si="270"/>
        <v>142.85714285714286</v>
      </c>
      <c r="R575" s="986">
        <f t="shared" si="270"/>
        <v>142.85714285714286</v>
      </c>
      <c r="S575" s="986">
        <f t="shared" si="270"/>
        <v>142.85714285714286</v>
      </c>
      <c r="T575" s="986">
        <f t="shared" si="270"/>
        <v>142.85714285714286</v>
      </c>
      <c r="U575" s="986">
        <f t="shared" si="270"/>
        <v>142.85714285714286</v>
      </c>
      <c r="V575" s="986">
        <f t="shared" si="270"/>
        <v>142.85714285714286</v>
      </c>
      <c r="W575" s="986">
        <f t="shared" si="270"/>
        <v>142.85714285714286</v>
      </c>
      <c r="X575" s="986">
        <f t="shared" si="270"/>
        <v>142.85714285714286</v>
      </c>
      <c r="Y575" s="986">
        <f t="shared" si="270"/>
        <v>142.85714285714286</v>
      </c>
      <c r="Z575" s="986">
        <f t="shared" si="270"/>
        <v>142.85714285714286</v>
      </c>
      <c r="AA575" s="986">
        <f t="shared" si="270"/>
        <v>142.85714285714286</v>
      </c>
      <c r="AB575" s="986">
        <f t="shared" si="270"/>
        <v>142.85714285714286</v>
      </c>
      <c r="AC575" s="986">
        <f t="shared" si="270"/>
        <v>142.85714285714286</v>
      </c>
      <c r="AD575" s="986">
        <f t="shared" si="270"/>
        <v>142.85714285714286</v>
      </c>
      <c r="AE575" s="986">
        <f t="shared" si="270"/>
        <v>142.85714285714286</v>
      </c>
      <c r="AF575" s="986">
        <f t="shared" si="270"/>
        <v>142.85714285714286</v>
      </c>
    </row>
    <row r="576" spans="1:32" outlineLevel="2">
      <c r="A576" s="999"/>
      <c r="B576" s="1955" t="s">
        <v>1824</v>
      </c>
      <c r="C576" s="1955"/>
      <c r="D576" s="1955"/>
      <c r="E576" s="1955"/>
      <c r="F576" s="1020">
        <f>+F577</f>
        <v>30775.536100000001</v>
      </c>
      <c r="G576" s="1019">
        <v>6.2146835955034768E-3</v>
      </c>
      <c r="H576" s="1018">
        <f t="shared" ref="H576:AF576" si="271">+$G$577*H577/$G$576</f>
        <v>99.999999999999986</v>
      </c>
      <c r="I576" s="1018">
        <f t="shared" si="271"/>
        <v>99.999999999999986</v>
      </c>
      <c r="J576" s="1018">
        <f t="shared" si="271"/>
        <v>99.999999999999986</v>
      </c>
      <c r="K576" s="1018">
        <f t="shared" si="271"/>
        <v>99.999999999999986</v>
      </c>
      <c r="L576" s="1018">
        <f t="shared" si="271"/>
        <v>99.999999999999986</v>
      </c>
      <c r="M576" s="1018">
        <f t="shared" si="271"/>
        <v>99.999999999999986</v>
      </c>
      <c r="N576" s="1018">
        <f t="shared" si="271"/>
        <v>99.999999999999986</v>
      </c>
      <c r="O576" s="1018">
        <f t="shared" si="271"/>
        <v>99.999999999999986</v>
      </c>
      <c r="P576" s="1018">
        <f t="shared" si="271"/>
        <v>99.999999999999986</v>
      </c>
      <c r="Q576" s="1018">
        <f t="shared" si="271"/>
        <v>99.999999999999986</v>
      </c>
      <c r="R576" s="1018">
        <f t="shared" si="271"/>
        <v>99.999999999999986</v>
      </c>
      <c r="S576" s="1018">
        <f t="shared" si="271"/>
        <v>99.999999999999986</v>
      </c>
      <c r="T576" s="1018">
        <f t="shared" si="271"/>
        <v>99.999999999999986</v>
      </c>
      <c r="U576" s="1018">
        <f t="shared" si="271"/>
        <v>99.999999999999986</v>
      </c>
      <c r="V576" s="1018">
        <f t="shared" si="271"/>
        <v>99.999999999999986</v>
      </c>
      <c r="W576" s="1018">
        <f t="shared" si="271"/>
        <v>99.999999999999986</v>
      </c>
      <c r="X576" s="1018">
        <f t="shared" si="271"/>
        <v>99.999999999999986</v>
      </c>
      <c r="Y576" s="1018">
        <f t="shared" si="271"/>
        <v>99.999999999999986</v>
      </c>
      <c r="Z576" s="1018">
        <f t="shared" si="271"/>
        <v>99.999999999999986</v>
      </c>
      <c r="AA576" s="1018">
        <f t="shared" si="271"/>
        <v>99.999999999999986</v>
      </c>
      <c r="AB576" s="1018">
        <f t="shared" si="271"/>
        <v>99.999999999999986</v>
      </c>
      <c r="AC576" s="1018">
        <f t="shared" si="271"/>
        <v>99.999999999999986</v>
      </c>
      <c r="AD576" s="1018">
        <f t="shared" si="271"/>
        <v>99.999999999999986</v>
      </c>
      <c r="AE576" s="1018">
        <f t="shared" si="271"/>
        <v>99.999999999999986</v>
      </c>
      <c r="AF576" s="1018">
        <f t="shared" si="271"/>
        <v>99.999999999999986</v>
      </c>
    </row>
    <row r="577" spans="1:32" s="1035" customFormat="1" outlineLevel="3">
      <c r="A577" s="999"/>
      <c r="B577" s="999"/>
      <c r="C577" s="1956" t="s">
        <v>1823</v>
      </c>
      <c r="D577" s="1956"/>
      <c r="E577" s="1956"/>
      <c r="F577" s="998">
        <f>SUM(F578:F579)</f>
        <v>30775.536100000001</v>
      </c>
      <c r="G577" s="997">
        <v>6.2146835955034768E-3</v>
      </c>
      <c r="H577" s="996">
        <f t="shared" ref="H577:AF577" si="272">+SUMPRODUCT(H578:H579,$G578:$G579)/$G577</f>
        <v>99.999999999999986</v>
      </c>
      <c r="I577" s="996">
        <f t="shared" si="272"/>
        <v>99.999999999999986</v>
      </c>
      <c r="J577" s="996">
        <f t="shared" si="272"/>
        <v>99.999999999999986</v>
      </c>
      <c r="K577" s="996">
        <f t="shared" si="272"/>
        <v>99.999999999999986</v>
      </c>
      <c r="L577" s="996">
        <f t="shared" si="272"/>
        <v>99.999999999999986</v>
      </c>
      <c r="M577" s="996">
        <f t="shared" si="272"/>
        <v>99.999999999999986</v>
      </c>
      <c r="N577" s="996">
        <f t="shared" si="272"/>
        <v>99.999999999999986</v>
      </c>
      <c r="O577" s="996">
        <f t="shared" si="272"/>
        <v>99.999999999999986</v>
      </c>
      <c r="P577" s="996">
        <f t="shared" si="272"/>
        <v>99.999999999999986</v>
      </c>
      <c r="Q577" s="996">
        <f t="shared" si="272"/>
        <v>99.999999999999986</v>
      </c>
      <c r="R577" s="996">
        <f t="shared" si="272"/>
        <v>99.999999999999986</v>
      </c>
      <c r="S577" s="996">
        <f t="shared" si="272"/>
        <v>99.999999999999986</v>
      </c>
      <c r="T577" s="996">
        <f t="shared" si="272"/>
        <v>99.999999999999986</v>
      </c>
      <c r="U577" s="996">
        <f t="shared" si="272"/>
        <v>99.999999999999986</v>
      </c>
      <c r="V577" s="996">
        <f t="shared" si="272"/>
        <v>99.999999999999986</v>
      </c>
      <c r="W577" s="996">
        <f t="shared" si="272"/>
        <v>99.999999999999986</v>
      </c>
      <c r="X577" s="996">
        <f t="shared" si="272"/>
        <v>99.999999999999986</v>
      </c>
      <c r="Y577" s="996">
        <f t="shared" si="272"/>
        <v>99.999999999999986</v>
      </c>
      <c r="Z577" s="996">
        <f t="shared" si="272"/>
        <v>99.999999999999986</v>
      </c>
      <c r="AA577" s="996">
        <f t="shared" si="272"/>
        <v>99.999999999999986</v>
      </c>
      <c r="AB577" s="996">
        <f t="shared" si="272"/>
        <v>99.999999999999986</v>
      </c>
      <c r="AC577" s="996">
        <f t="shared" si="272"/>
        <v>99.999999999999986</v>
      </c>
      <c r="AD577" s="996">
        <f t="shared" si="272"/>
        <v>99.999999999999986</v>
      </c>
      <c r="AE577" s="996">
        <f t="shared" si="272"/>
        <v>99.999999999999986</v>
      </c>
      <c r="AF577" s="996">
        <f t="shared" si="272"/>
        <v>99.999999999999986</v>
      </c>
    </row>
    <row r="578" spans="1:32" s="1035" customFormat="1" ht="25.5" outlineLevel="4">
      <c r="A578" s="1034"/>
      <c r="B578" s="1034"/>
      <c r="C578" s="1034"/>
      <c r="D578" s="1033">
        <f>+D575+1</f>
        <v>163</v>
      </c>
      <c r="E578" s="1032" t="s">
        <v>1822</v>
      </c>
      <c r="F578" s="1031">
        <f>+'[11]7'!$P$190*0.5</f>
        <v>15387.768050000001</v>
      </c>
      <c r="G578" s="987">
        <v>3.1073417977517384E-3</v>
      </c>
      <c r="H578" s="986">
        <f>IF(H236=0,100,H236/H236*100)</f>
        <v>100</v>
      </c>
      <c r="I578" s="986">
        <f t="shared" ref="I578:AF578" si="273">IF(I236=0,100,I236/H236*H578)</f>
        <v>100</v>
      </c>
      <c r="J578" s="986">
        <f t="shared" si="273"/>
        <v>100</v>
      </c>
      <c r="K578" s="986">
        <f t="shared" si="273"/>
        <v>100</v>
      </c>
      <c r="L578" s="986">
        <f t="shared" si="273"/>
        <v>100</v>
      </c>
      <c r="M578" s="986">
        <f t="shared" si="273"/>
        <v>100</v>
      </c>
      <c r="N578" s="986">
        <f t="shared" si="273"/>
        <v>100</v>
      </c>
      <c r="O578" s="986">
        <f t="shared" si="273"/>
        <v>100</v>
      </c>
      <c r="P578" s="986">
        <f t="shared" si="273"/>
        <v>100</v>
      </c>
      <c r="Q578" s="986">
        <f t="shared" si="273"/>
        <v>100</v>
      </c>
      <c r="R578" s="986">
        <f t="shared" si="273"/>
        <v>100</v>
      </c>
      <c r="S578" s="986">
        <f t="shared" si="273"/>
        <v>100</v>
      </c>
      <c r="T578" s="986">
        <f t="shared" si="273"/>
        <v>100</v>
      </c>
      <c r="U578" s="986">
        <f t="shared" si="273"/>
        <v>100</v>
      </c>
      <c r="V578" s="986">
        <f t="shared" si="273"/>
        <v>100</v>
      </c>
      <c r="W578" s="986">
        <f t="shared" si="273"/>
        <v>100</v>
      </c>
      <c r="X578" s="986">
        <f t="shared" si="273"/>
        <v>100</v>
      </c>
      <c r="Y578" s="986">
        <f t="shared" si="273"/>
        <v>100</v>
      </c>
      <c r="Z578" s="986">
        <f t="shared" si="273"/>
        <v>100</v>
      </c>
      <c r="AA578" s="986">
        <f t="shared" si="273"/>
        <v>100</v>
      </c>
      <c r="AB578" s="986">
        <f t="shared" si="273"/>
        <v>100</v>
      </c>
      <c r="AC578" s="986">
        <f t="shared" si="273"/>
        <v>100</v>
      </c>
      <c r="AD578" s="986">
        <f t="shared" si="273"/>
        <v>100</v>
      </c>
      <c r="AE578" s="986">
        <f t="shared" si="273"/>
        <v>100</v>
      </c>
      <c r="AF578" s="986">
        <f t="shared" si="273"/>
        <v>100</v>
      </c>
    </row>
    <row r="579" spans="1:32" ht="25.5" outlineLevel="4">
      <c r="A579" s="1034"/>
      <c r="B579" s="1034"/>
      <c r="C579" s="1034"/>
      <c r="D579" s="1033">
        <f>+D578+1</f>
        <v>164</v>
      </c>
      <c r="E579" s="1032" t="s">
        <v>1821</v>
      </c>
      <c r="F579" s="1031">
        <f>+'[11]7'!$P$190*0.5</f>
        <v>15387.768050000001</v>
      </c>
      <c r="G579" s="987">
        <v>3.1073417977517384E-3</v>
      </c>
      <c r="H579" s="986">
        <f>IF(H237=0,100,H237/H237*100)</f>
        <v>100</v>
      </c>
      <c r="I579" s="986">
        <f t="shared" ref="I579:AF579" si="274">IF(I237=0,100,I237/H237*H579)</f>
        <v>100</v>
      </c>
      <c r="J579" s="986">
        <f t="shared" si="274"/>
        <v>100</v>
      </c>
      <c r="K579" s="986">
        <f t="shared" si="274"/>
        <v>100</v>
      </c>
      <c r="L579" s="986">
        <f t="shared" si="274"/>
        <v>100</v>
      </c>
      <c r="M579" s="986">
        <f t="shared" si="274"/>
        <v>100</v>
      </c>
      <c r="N579" s="986">
        <f t="shared" si="274"/>
        <v>100</v>
      </c>
      <c r="O579" s="986">
        <f t="shared" si="274"/>
        <v>100</v>
      </c>
      <c r="P579" s="986">
        <f t="shared" si="274"/>
        <v>100</v>
      </c>
      <c r="Q579" s="986">
        <f t="shared" si="274"/>
        <v>100</v>
      </c>
      <c r="R579" s="986">
        <f t="shared" si="274"/>
        <v>100</v>
      </c>
      <c r="S579" s="986">
        <f t="shared" si="274"/>
        <v>100</v>
      </c>
      <c r="T579" s="986">
        <f t="shared" si="274"/>
        <v>100</v>
      </c>
      <c r="U579" s="986">
        <f t="shared" si="274"/>
        <v>100</v>
      </c>
      <c r="V579" s="986">
        <f t="shared" si="274"/>
        <v>100</v>
      </c>
      <c r="W579" s="986">
        <f t="shared" si="274"/>
        <v>100</v>
      </c>
      <c r="X579" s="986">
        <f t="shared" si="274"/>
        <v>100</v>
      </c>
      <c r="Y579" s="986">
        <f t="shared" si="274"/>
        <v>100</v>
      </c>
      <c r="Z579" s="986">
        <f t="shared" si="274"/>
        <v>100</v>
      </c>
      <c r="AA579" s="986">
        <f t="shared" si="274"/>
        <v>100</v>
      </c>
      <c r="AB579" s="986">
        <f t="shared" si="274"/>
        <v>100</v>
      </c>
      <c r="AC579" s="986">
        <f t="shared" si="274"/>
        <v>100</v>
      </c>
      <c r="AD579" s="986">
        <f t="shared" si="274"/>
        <v>100</v>
      </c>
      <c r="AE579" s="986">
        <f t="shared" si="274"/>
        <v>100</v>
      </c>
      <c r="AF579" s="986">
        <f t="shared" si="274"/>
        <v>100</v>
      </c>
    </row>
    <row r="580" spans="1:32" outlineLevel="1">
      <c r="A580" s="1025" t="s">
        <v>1820</v>
      </c>
      <c r="B580" s="1025"/>
      <c r="C580" s="999"/>
      <c r="D580" s="1030"/>
      <c r="E580" s="1024"/>
      <c r="F580" s="1023">
        <f>+F581+F586+F595</f>
        <v>514094.56561399996</v>
      </c>
      <c r="G580" s="1022">
        <v>0.10381411563643927</v>
      </c>
      <c r="H580" s="1021">
        <f t="shared" ref="H580:AF580" si="275">+($G$581*H581+$G$586*H586+$G$595*H595)/$G$580</f>
        <v>99.999999999999986</v>
      </c>
      <c r="I580" s="1021">
        <f t="shared" si="275"/>
        <v>100.26625113384834</v>
      </c>
      <c r="J580" s="1021">
        <f t="shared" si="275"/>
        <v>101.15921647506281</v>
      </c>
      <c r="K580" s="1021">
        <f t="shared" si="275"/>
        <v>101.15921647506281</v>
      </c>
      <c r="L580" s="1021">
        <f t="shared" si="275"/>
        <v>100.56467125357209</v>
      </c>
      <c r="M580" s="1021">
        <f t="shared" si="275"/>
        <v>101.60291681478765</v>
      </c>
      <c r="N580" s="1021">
        <f t="shared" si="275"/>
        <v>106.62188303855622</v>
      </c>
      <c r="O580" s="1021">
        <f t="shared" si="275"/>
        <v>110.26001739973185</v>
      </c>
      <c r="P580" s="1021">
        <f t="shared" si="275"/>
        <v>110.99867909692716</v>
      </c>
      <c r="Q580" s="1021">
        <f t="shared" si="275"/>
        <v>110.33305126230628</v>
      </c>
      <c r="R580" s="1021">
        <f t="shared" si="275"/>
        <v>110.08442922767988</v>
      </c>
      <c r="S580" s="1021">
        <f t="shared" si="275"/>
        <v>110.50227527690662</v>
      </c>
      <c r="T580" s="1021">
        <f t="shared" si="275"/>
        <v>110.50227527690662</v>
      </c>
      <c r="U580" s="1021">
        <f t="shared" si="275"/>
        <v>115.01885461609692</v>
      </c>
      <c r="V580" s="1021">
        <f t="shared" si="275"/>
        <v>116.36867255877216</v>
      </c>
      <c r="W580" s="1021">
        <f t="shared" si="275"/>
        <v>115.65301876480522</v>
      </c>
      <c r="X580" s="1021">
        <f t="shared" si="275"/>
        <v>115.24265115525229</v>
      </c>
      <c r="Y580" s="1021">
        <f t="shared" si="275"/>
        <v>114.84327445447977</v>
      </c>
      <c r="Z580" s="1021">
        <f t="shared" si="275"/>
        <v>113.36692411247071</v>
      </c>
      <c r="AA580" s="1021">
        <f t="shared" si="275"/>
        <v>113.20437902053418</v>
      </c>
      <c r="AB580" s="1021">
        <f t="shared" si="275"/>
        <v>113.03978994269281</v>
      </c>
      <c r="AC580" s="1021">
        <f t="shared" si="275"/>
        <v>114.3105567214204</v>
      </c>
      <c r="AD580" s="1021">
        <f t="shared" si="275"/>
        <v>114.18624570410719</v>
      </c>
      <c r="AE580" s="1021">
        <f t="shared" si="275"/>
        <v>114.18624570410719</v>
      </c>
      <c r="AF580" s="1021">
        <f t="shared" si="275"/>
        <v>114.18624570410719</v>
      </c>
    </row>
    <row r="581" spans="1:32" outlineLevel="2">
      <c r="A581" s="999"/>
      <c r="B581" s="1955" t="s">
        <v>1819</v>
      </c>
      <c r="C581" s="1955"/>
      <c r="D581" s="1955"/>
      <c r="E581" s="1955"/>
      <c r="F581" s="1020">
        <f>+F582+F584</f>
        <v>197578.47080000001</v>
      </c>
      <c r="G581" s="1019">
        <v>3.9898173579027363E-2</v>
      </c>
      <c r="H581" s="1018">
        <f t="shared" ref="H581:AF581" si="276">+($G$582*H582+$G$584*H584)/$G$581</f>
        <v>99.999999999999986</v>
      </c>
      <c r="I581" s="1018">
        <f t="shared" si="276"/>
        <v>99.999999999999986</v>
      </c>
      <c r="J581" s="1018">
        <f t="shared" si="276"/>
        <v>99.999999999999986</v>
      </c>
      <c r="K581" s="1018">
        <f t="shared" si="276"/>
        <v>99.999999999999986</v>
      </c>
      <c r="L581" s="1018">
        <f t="shared" si="276"/>
        <v>99.999999999999986</v>
      </c>
      <c r="M581" s="1018">
        <f t="shared" si="276"/>
        <v>100.06719105823983</v>
      </c>
      <c r="N581" s="1018">
        <f t="shared" si="276"/>
        <v>104.13259035492662</v>
      </c>
      <c r="O581" s="1018">
        <f t="shared" si="276"/>
        <v>108.086004554547</v>
      </c>
      <c r="P581" s="1018">
        <f t="shared" si="276"/>
        <v>108.086004554547</v>
      </c>
      <c r="Q581" s="1018">
        <f t="shared" si="276"/>
        <v>108.086004554547</v>
      </c>
      <c r="R581" s="1018">
        <f t="shared" si="276"/>
        <v>108.086004554547</v>
      </c>
      <c r="S581" s="1018">
        <f t="shared" si="276"/>
        <v>108.13079859337356</v>
      </c>
      <c r="T581" s="1018">
        <f t="shared" si="276"/>
        <v>108.13079859337356</v>
      </c>
      <c r="U581" s="1018">
        <f t="shared" si="276"/>
        <v>108.1979896516134</v>
      </c>
      <c r="V581" s="1018">
        <f t="shared" si="276"/>
        <v>108.1979896516134</v>
      </c>
      <c r="W581" s="1018">
        <f t="shared" si="276"/>
        <v>108.30997474867981</v>
      </c>
      <c r="X581" s="1018">
        <f t="shared" si="276"/>
        <v>108.30997474867981</v>
      </c>
      <c r="Y581" s="1018">
        <f t="shared" si="276"/>
        <v>108.30997474867981</v>
      </c>
      <c r="Z581" s="1018">
        <f t="shared" si="276"/>
        <v>104.46854564612585</v>
      </c>
      <c r="AA581" s="1018">
        <f t="shared" si="276"/>
        <v>104.69251584025864</v>
      </c>
      <c r="AB581" s="1018">
        <f t="shared" si="276"/>
        <v>104.58053074319223</v>
      </c>
      <c r="AC581" s="1018">
        <f t="shared" si="276"/>
        <v>108.53394494281262</v>
      </c>
      <c r="AD581" s="1018">
        <f t="shared" si="276"/>
        <v>108.53394494281262</v>
      </c>
      <c r="AE581" s="1018">
        <f t="shared" si="276"/>
        <v>108.53394494281262</v>
      </c>
      <c r="AF581" s="1018">
        <f t="shared" si="276"/>
        <v>108.53394494281262</v>
      </c>
    </row>
    <row r="582" spans="1:32" s="1010" customFormat="1" outlineLevel="3">
      <c r="A582" s="999"/>
      <c r="B582" s="999"/>
      <c r="C582" s="1956" t="s">
        <v>1818</v>
      </c>
      <c r="D582" s="1956"/>
      <c r="E582" s="1956"/>
      <c r="F582" s="998">
        <f>SUM(F583)</f>
        <v>195277.383</v>
      </c>
      <c r="G582" s="997">
        <v>3.9433501491561329E-2</v>
      </c>
      <c r="H582" s="996">
        <f t="shared" ref="H582:AF582" si="277">+SUMPRODUCT(H583,$G583)/$G582</f>
        <v>100</v>
      </c>
      <c r="I582" s="996">
        <f t="shared" si="277"/>
        <v>100</v>
      </c>
      <c r="J582" s="996">
        <f t="shared" si="277"/>
        <v>100</v>
      </c>
      <c r="K582" s="996">
        <f t="shared" si="277"/>
        <v>100</v>
      </c>
      <c r="L582" s="996">
        <f t="shared" si="277"/>
        <v>100</v>
      </c>
      <c r="M582" s="996">
        <f t="shared" si="277"/>
        <v>100</v>
      </c>
      <c r="N582" s="996">
        <f t="shared" si="277"/>
        <v>104</v>
      </c>
      <c r="O582" s="996">
        <f t="shared" si="277"/>
        <v>108.00000000000001</v>
      </c>
      <c r="P582" s="996">
        <f t="shared" si="277"/>
        <v>108.00000000000001</v>
      </c>
      <c r="Q582" s="996">
        <f t="shared" si="277"/>
        <v>108.00000000000001</v>
      </c>
      <c r="R582" s="996">
        <f t="shared" si="277"/>
        <v>108.00000000000001</v>
      </c>
      <c r="S582" s="996">
        <f t="shared" si="277"/>
        <v>108.00000000000001</v>
      </c>
      <c r="T582" s="996">
        <f t="shared" si="277"/>
        <v>108.00000000000001</v>
      </c>
      <c r="U582" s="996">
        <f t="shared" si="277"/>
        <v>108.00000000000001</v>
      </c>
      <c r="V582" s="996">
        <f t="shared" si="277"/>
        <v>108.00000000000001</v>
      </c>
      <c r="W582" s="996">
        <f t="shared" si="277"/>
        <v>108.00000000000001</v>
      </c>
      <c r="X582" s="996">
        <f t="shared" si="277"/>
        <v>108.00000000000001</v>
      </c>
      <c r="Y582" s="996">
        <f t="shared" si="277"/>
        <v>108.00000000000001</v>
      </c>
      <c r="Z582" s="996">
        <f t="shared" si="277"/>
        <v>104.00000000000003</v>
      </c>
      <c r="AA582" s="996">
        <f t="shared" si="277"/>
        <v>104.00000000000003</v>
      </c>
      <c r="AB582" s="996">
        <f t="shared" si="277"/>
        <v>104.00000000000003</v>
      </c>
      <c r="AC582" s="996">
        <f t="shared" si="277"/>
        <v>108.00000000000003</v>
      </c>
      <c r="AD582" s="996">
        <f t="shared" si="277"/>
        <v>108.00000000000003</v>
      </c>
      <c r="AE582" s="996">
        <f t="shared" si="277"/>
        <v>108.00000000000003</v>
      </c>
      <c r="AF582" s="996">
        <f t="shared" si="277"/>
        <v>108.00000000000003</v>
      </c>
    </row>
    <row r="583" spans="1:32" outlineLevel="4">
      <c r="A583" s="999"/>
      <c r="B583" s="999"/>
      <c r="C583" s="999"/>
      <c r="D583" s="1015">
        <f>+D579+1</f>
        <v>165</v>
      </c>
      <c r="E583" s="1026" t="s">
        <v>1817</v>
      </c>
      <c r="F583" s="988">
        <f>+'[11]7'!$P$191+'[11]7'!$P$194</f>
        <v>195277.383</v>
      </c>
      <c r="G583" s="987">
        <v>3.9433501491561329E-2</v>
      </c>
      <c r="H583" s="986">
        <f>IF(H241=0,100,H241/H241*100)</f>
        <v>100</v>
      </c>
      <c r="I583" s="986">
        <f t="shared" ref="I583:AF583" si="278">IF(I241=0,100,I241/H241*H583)</f>
        <v>100</v>
      </c>
      <c r="J583" s="986">
        <f t="shared" si="278"/>
        <v>100</v>
      </c>
      <c r="K583" s="986">
        <f t="shared" si="278"/>
        <v>100</v>
      </c>
      <c r="L583" s="986">
        <f t="shared" si="278"/>
        <v>100</v>
      </c>
      <c r="M583" s="986">
        <f t="shared" si="278"/>
        <v>100</v>
      </c>
      <c r="N583" s="986">
        <f t="shared" si="278"/>
        <v>104</v>
      </c>
      <c r="O583" s="986">
        <f t="shared" si="278"/>
        <v>108.00000000000001</v>
      </c>
      <c r="P583" s="986">
        <f t="shared" si="278"/>
        <v>108.00000000000001</v>
      </c>
      <c r="Q583" s="986">
        <f t="shared" si="278"/>
        <v>108.00000000000001</v>
      </c>
      <c r="R583" s="986">
        <f t="shared" si="278"/>
        <v>108.00000000000001</v>
      </c>
      <c r="S583" s="986">
        <f t="shared" si="278"/>
        <v>108.00000000000001</v>
      </c>
      <c r="T583" s="986">
        <f t="shared" si="278"/>
        <v>108.00000000000001</v>
      </c>
      <c r="U583" s="986">
        <f t="shared" si="278"/>
        <v>108.00000000000001</v>
      </c>
      <c r="V583" s="986">
        <f t="shared" si="278"/>
        <v>108.00000000000001</v>
      </c>
      <c r="W583" s="986">
        <f t="shared" si="278"/>
        <v>108.00000000000001</v>
      </c>
      <c r="X583" s="986">
        <f t="shared" si="278"/>
        <v>108.00000000000001</v>
      </c>
      <c r="Y583" s="986">
        <f t="shared" si="278"/>
        <v>108.00000000000001</v>
      </c>
      <c r="Z583" s="986">
        <f t="shared" si="278"/>
        <v>104.00000000000001</v>
      </c>
      <c r="AA583" s="986">
        <f t="shared" si="278"/>
        <v>104.00000000000001</v>
      </c>
      <c r="AB583" s="986">
        <f t="shared" si="278"/>
        <v>104.00000000000001</v>
      </c>
      <c r="AC583" s="986">
        <f t="shared" si="278"/>
        <v>108.00000000000003</v>
      </c>
      <c r="AD583" s="986">
        <f t="shared" si="278"/>
        <v>108.00000000000003</v>
      </c>
      <c r="AE583" s="986">
        <f t="shared" si="278"/>
        <v>108.00000000000003</v>
      </c>
      <c r="AF583" s="986">
        <f t="shared" si="278"/>
        <v>108.00000000000003</v>
      </c>
    </row>
    <row r="584" spans="1:32" s="1010" customFormat="1" outlineLevel="3">
      <c r="A584" s="999"/>
      <c r="B584" s="999"/>
      <c r="C584" s="1956" t="s">
        <v>1816</v>
      </c>
      <c r="D584" s="1956"/>
      <c r="E584" s="1956"/>
      <c r="F584" s="1029">
        <f>SUM(F585)</f>
        <v>2301.0878000000002</v>
      </c>
      <c r="G584" s="997">
        <v>4.6467208746603074E-4</v>
      </c>
      <c r="H584" s="996">
        <f t="shared" ref="H584:AF584" si="279">+SUMPRODUCT(H585,$G585)/$G584</f>
        <v>100</v>
      </c>
      <c r="I584" s="996">
        <f t="shared" si="279"/>
        <v>100</v>
      </c>
      <c r="J584" s="996">
        <f t="shared" si="279"/>
        <v>100</v>
      </c>
      <c r="K584" s="996">
        <f t="shared" si="279"/>
        <v>100</v>
      </c>
      <c r="L584" s="996">
        <f t="shared" si="279"/>
        <v>100</v>
      </c>
      <c r="M584" s="996">
        <f t="shared" si="279"/>
        <v>105.76923076923077</v>
      </c>
      <c r="N584" s="996">
        <f t="shared" si="279"/>
        <v>115.38461538461539</v>
      </c>
      <c r="O584" s="996">
        <f t="shared" si="279"/>
        <v>115.38461538461539</v>
      </c>
      <c r="P584" s="996">
        <f t="shared" si="279"/>
        <v>115.38461538461539</v>
      </c>
      <c r="Q584" s="996">
        <f t="shared" si="279"/>
        <v>115.38461538461539</v>
      </c>
      <c r="R584" s="996">
        <f t="shared" si="279"/>
        <v>115.38461538461539</v>
      </c>
      <c r="S584" s="996">
        <f t="shared" si="279"/>
        <v>119.23076923076924</v>
      </c>
      <c r="T584" s="996">
        <f t="shared" si="279"/>
        <v>119.23076923076924</v>
      </c>
      <c r="U584" s="996">
        <f t="shared" si="279"/>
        <v>125</v>
      </c>
      <c r="V584" s="996">
        <f t="shared" si="279"/>
        <v>125</v>
      </c>
      <c r="W584" s="996">
        <f t="shared" si="279"/>
        <v>134.61538461538461</v>
      </c>
      <c r="X584" s="996">
        <f t="shared" si="279"/>
        <v>134.61538461538461</v>
      </c>
      <c r="Y584" s="996">
        <f t="shared" si="279"/>
        <v>134.61538461538461</v>
      </c>
      <c r="Z584" s="996">
        <f t="shared" si="279"/>
        <v>144.23076923076923</v>
      </c>
      <c r="AA584" s="996">
        <f t="shared" si="279"/>
        <v>163.46153846153845</v>
      </c>
      <c r="AB584" s="996">
        <f t="shared" si="279"/>
        <v>153.84615384615384</v>
      </c>
      <c r="AC584" s="996">
        <f t="shared" si="279"/>
        <v>153.84615384615384</v>
      </c>
      <c r="AD584" s="996">
        <f t="shared" si="279"/>
        <v>153.84615384615384</v>
      </c>
      <c r="AE584" s="996">
        <f t="shared" si="279"/>
        <v>153.84615384615384</v>
      </c>
      <c r="AF584" s="996">
        <f t="shared" si="279"/>
        <v>153.84615384615384</v>
      </c>
    </row>
    <row r="585" spans="1:32" outlineLevel="4">
      <c r="A585" s="999"/>
      <c r="B585" s="999"/>
      <c r="C585" s="999"/>
      <c r="D585" s="1015">
        <f>+D583+1</f>
        <v>166</v>
      </c>
      <c r="E585" s="1014" t="s">
        <v>1815</v>
      </c>
      <c r="F585" s="988">
        <f>+'[11]7'!$P$195+'[11]7'!$P$196</f>
        <v>2301.0878000000002</v>
      </c>
      <c r="G585" s="987">
        <v>4.6467208746603074E-4</v>
      </c>
      <c r="H585" s="986">
        <f>IF(H243=0,100,H243/H243*100)</f>
        <v>100</v>
      </c>
      <c r="I585" s="986">
        <f t="shared" ref="I585:AF585" si="280">IF(I243=0,100,I243/H243*H585)</f>
        <v>100</v>
      </c>
      <c r="J585" s="986">
        <f t="shared" si="280"/>
        <v>100</v>
      </c>
      <c r="K585" s="986">
        <f t="shared" si="280"/>
        <v>100</v>
      </c>
      <c r="L585" s="986">
        <f t="shared" si="280"/>
        <v>100</v>
      </c>
      <c r="M585" s="986">
        <f t="shared" si="280"/>
        <v>105.76923076923077</v>
      </c>
      <c r="N585" s="986">
        <f t="shared" si="280"/>
        <v>115.38461538461539</v>
      </c>
      <c r="O585" s="986">
        <f t="shared" si="280"/>
        <v>115.38461538461539</v>
      </c>
      <c r="P585" s="986">
        <f t="shared" si="280"/>
        <v>115.38461538461539</v>
      </c>
      <c r="Q585" s="986">
        <f t="shared" si="280"/>
        <v>115.38461538461539</v>
      </c>
      <c r="R585" s="986">
        <f t="shared" si="280"/>
        <v>115.38461538461539</v>
      </c>
      <c r="S585" s="986">
        <f t="shared" si="280"/>
        <v>119.23076923076924</v>
      </c>
      <c r="T585" s="986">
        <f t="shared" si="280"/>
        <v>119.23076923076924</v>
      </c>
      <c r="U585" s="986">
        <f t="shared" si="280"/>
        <v>125</v>
      </c>
      <c r="V585" s="986">
        <f t="shared" si="280"/>
        <v>125</v>
      </c>
      <c r="W585" s="986">
        <f t="shared" si="280"/>
        <v>134.61538461538461</v>
      </c>
      <c r="X585" s="986">
        <f t="shared" si="280"/>
        <v>134.61538461538461</v>
      </c>
      <c r="Y585" s="986">
        <f t="shared" si="280"/>
        <v>134.61538461538461</v>
      </c>
      <c r="Z585" s="986">
        <f t="shared" si="280"/>
        <v>144.23076923076923</v>
      </c>
      <c r="AA585" s="986">
        <f t="shared" si="280"/>
        <v>163.46153846153845</v>
      </c>
      <c r="AB585" s="986">
        <f t="shared" si="280"/>
        <v>153.84615384615384</v>
      </c>
      <c r="AC585" s="986">
        <f t="shared" si="280"/>
        <v>153.84615384615384</v>
      </c>
      <c r="AD585" s="986">
        <f t="shared" si="280"/>
        <v>153.84615384615384</v>
      </c>
      <c r="AE585" s="986">
        <f t="shared" si="280"/>
        <v>153.84615384615384</v>
      </c>
      <c r="AF585" s="986">
        <f t="shared" si="280"/>
        <v>153.84615384615384</v>
      </c>
    </row>
    <row r="586" spans="1:32" outlineLevel="2">
      <c r="A586" s="999"/>
      <c r="B586" s="1955" t="s">
        <v>1814</v>
      </c>
      <c r="C586" s="1955"/>
      <c r="D586" s="1955"/>
      <c r="E586" s="1955"/>
      <c r="F586" s="1020">
        <f>+F587+F589+F593</f>
        <v>184408.80952399995</v>
      </c>
      <c r="G586" s="1019">
        <v>3.7238747025925181E-2</v>
      </c>
      <c r="H586" s="1018">
        <f t="shared" ref="H586:AF586" si="281">+($G$587*H587+$G$589*H589+$G$593*H593)/$G$586</f>
        <v>99.999999999999986</v>
      </c>
      <c r="I586" s="1018">
        <f t="shared" si="281"/>
        <v>100.74225445819704</v>
      </c>
      <c r="J586" s="1018">
        <f t="shared" si="281"/>
        <v>103.2316617179964</v>
      </c>
      <c r="K586" s="1018">
        <f t="shared" si="281"/>
        <v>103.2316617179964</v>
      </c>
      <c r="L586" s="1018">
        <f t="shared" si="281"/>
        <v>101.57418956051596</v>
      </c>
      <c r="M586" s="1018">
        <f t="shared" si="281"/>
        <v>104.39661922425489</v>
      </c>
      <c r="N586" s="1018">
        <f t="shared" si="281"/>
        <v>112.79322599197015</v>
      </c>
      <c r="O586" s="1018">
        <f t="shared" si="281"/>
        <v>112.79322599197015</v>
      </c>
      <c r="P586" s="1018">
        <f t="shared" si="281"/>
        <v>114.85246581535775</v>
      </c>
      <c r="Q586" s="1018">
        <f t="shared" si="281"/>
        <v>112.99682966986511</v>
      </c>
      <c r="R586" s="1018">
        <f t="shared" si="281"/>
        <v>112.30372158450164</v>
      </c>
      <c r="S586" s="1018">
        <f t="shared" si="281"/>
        <v>113.42059905911944</v>
      </c>
      <c r="T586" s="1018">
        <f t="shared" si="281"/>
        <v>113.42059905911944</v>
      </c>
      <c r="U586" s="1018">
        <f t="shared" si="281"/>
        <v>123.46238131562234</v>
      </c>
      <c r="V586" s="1018">
        <f t="shared" si="281"/>
        <v>120.11466388146701</v>
      </c>
      <c r="W586" s="1018">
        <f t="shared" si="281"/>
        <v>117.9995828743449</v>
      </c>
      <c r="X586" s="1018">
        <f t="shared" si="281"/>
        <v>116.85556075024067</v>
      </c>
      <c r="Y586" s="1018">
        <f t="shared" si="281"/>
        <v>115.7421790629451</v>
      </c>
      <c r="Z586" s="1018">
        <f t="shared" si="281"/>
        <v>115.7421790629451</v>
      </c>
      <c r="AA586" s="1018">
        <f t="shared" si="281"/>
        <v>115.04907097758165</v>
      </c>
      <c r="AB586" s="1018">
        <f t="shared" si="281"/>
        <v>115.48681078626198</v>
      </c>
      <c r="AC586" s="1018">
        <f t="shared" si="281"/>
        <v>114.79370270089852</v>
      </c>
      <c r="AD586" s="1018">
        <f t="shared" si="281"/>
        <v>114.44714865821679</v>
      </c>
      <c r="AE586" s="1018">
        <f t="shared" si="281"/>
        <v>114.44714865821679</v>
      </c>
      <c r="AF586" s="1018">
        <f t="shared" si="281"/>
        <v>114.44714865821679</v>
      </c>
    </row>
    <row r="587" spans="1:32" s="1010" customFormat="1" outlineLevel="3">
      <c r="A587" s="999"/>
      <c r="B587" s="999"/>
      <c r="C587" s="1956" t="s">
        <v>1813</v>
      </c>
      <c r="D587" s="1956"/>
      <c r="E587" s="1956"/>
      <c r="F587" s="998">
        <f>SUM(F588)</f>
        <v>60296.523889999997</v>
      </c>
      <c r="G587" s="997">
        <v>1.2176028929844261E-2</v>
      </c>
      <c r="H587" s="996">
        <f t="shared" ref="H587:AF587" si="282">+SUMPRODUCT(H588,$G588)/$G587</f>
        <v>100</v>
      </c>
      <c r="I587" s="996">
        <f t="shared" si="282"/>
        <v>100</v>
      </c>
      <c r="J587" s="996">
        <f t="shared" si="282"/>
        <v>100</v>
      </c>
      <c r="K587" s="996">
        <f t="shared" si="282"/>
        <v>100</v>
      </c>
      <c r="L587" s="996">
        <f t="shared" si="282"/>
        <v>100</v>
      </c>
      <c r="M587" s="996">
        <f t="shared" si="282"/>
        <v>100</v>
      </c>
      <c r="N587" s="996">
        <f t="shared" si="282"/>
        <v>100</v>
      </c>
      <c r="O587" s="996">
        <f t="shared" si="282"/>
        <v>100</v>
      </c>
      <c r="P587" s="996">
        <f t="shared" si="282"/>
        <v>100</v>
      </c>
      <c r="Q587" s="996">
        <f t="shared" si="282"/>
        <v>100</v>
      </c>
      <c r="R587" s="996">
        <f t="shared" si="282"/>
        <v>100</v>
      </c>
      <c r="S587" s="996">
        <f t="shared" si="282"/>
        <v>100</v>
      </c>
      <c r="T587" s="996">
        <f t="shared" si="282"/>
        <v>100</v>
      </c>
      <c r="U587" s="996">
        <f t="shared" si="282"/>
        <v>100</v>
      </c>
      <c r="V587" s="996">
        <f t="shared" si="282"/>
        <v>100</v>
      </c>
      <c r="W587" s="996">
        <f t="shared" si="282"/>
        <v>100</v>
      </c>
      <c r="X587" s="996">
        <f t="shared" si="282"/>
        <v>100</v>
      </c>
      <c r="Y587" s="996">
        <f t="shared" si="282"/>
        <v>100</v>
      </c>
      <c r="Z587" s="996">
        <f t="shared" si="282"/>
        <v>100</v>
      </c>
      <c r="AA587" s="996">
        <f t="shared" si="282"/>
        <v>100</v>
      </c>
      <c r="AB587" s="996">
        <f t="shared" si="282"/>
        <v>100</v>
      </c>
      <c r="AC587" s="996">
        <f t="shared" si="282"/>
        <v>100</v>
      </c>
      <c r="AD587" s="996">
        <f t="shared" si="282"/>
        <v>100</v>
      </c>
      <c r="AE587" s="996">
        <f t="shared" si="282"/>
        <v>100</v>
      </c>
      <c r="AF587" s="996">
        <f t="shared" si="282"/>
        <v>100</v>
      </c>
    </row>
    <row r="588" spans="1:32" ht="14.25" customHeight="1" outlineLevel="4">
      <c r="A588" s="999"/>
      <c r="B588" s="999"/>
      <c r="C588" s="999"/>
      <c r="D588" s="1015">
        <f>+D585+1</f>
        <v>167</v>
      </c>
      <c r="E588" s="1014" t="s">
        <v>1812</v>
      </c>
      <c r="F588" s="988">
        <f>+'[11]7'!$P$198+'[11]7'!$P$199</f>
        <v>60296.523889999997</v>
      </c>
      <c r="G588" s="987">
        <v>1.2176028929844261E-2</v>
      </c>
      <c r="H588" s="986">
        <f>IF(H246=0,100,H246/H246*100)</f>
        <v>100</v>
      </c>
      <c r="I588" s="986">
        <f t="shared" ref="I588:AF588" si="283">IF(I246=0,100,I246/H246*H588)</f>
        <v>100</v>
      </c>
      <c r="J588" s="986">
        <f t="shared" si="283"/>
        <v>100</v>
      </c>
      <c r="K588" s="986">
        <f t="shared" si="283"/>
        <v>100</v>
      </c>
      <c r="L588" s="986">
        <f t="shared" si="283"/>
        <v>100</v>
      </c>
      <c r="M588" s="986">
        <f t="shared" si="283"/>
        <v>100</v>
      </c>
      <c r="N588" s="986">
        <f t="shared" si="283"/>
        <v>100</v>
      </c>
      <c r="O588" s="986">
        <f t="shared" si="283"/>
        <v>100</v>
      </c>
      <c r="P588" s="986">
        <f t="shared" si="283"/>
        <v>100</v>
      </c>
      <c r="Q588" s="986">
        <f t="shared" si="283"/>
        <v>100</v>
      </c>
      <c r="R588" s="986">
        <f t="shared" si="283"/>
        <v>100</v>
      </c>
      <c r="S588" s="986">
        <f t="shared" si="283"/>
        <v>100</v>
      </c>
      <c r="T588" s="986">
        <f t="shared" si="283"/>
        <v>100</v>
      </c>
      <c r="U588" s="986">
        <f t="shared" si="283"/>
        <v>100</v>
      </c>
      <c r="V588" s="986">
        <f t="shared" si="283"/>
        <v>100</v>
      </c>
      <c r="W588" s="986">
        <f t="shared" si="283"/>
        <v>100</v>
      </c>
      <c r="X588" s="986">
        <f t="shared" si="283"/>
        <v>100</v>
      </c>
      <c r="Y588" s="986">
        <f t="shared" si="283"/>
        <v>100</v>
      </c>
      <c r="Z588" s="986">
        <f t="shared" si="283"/>
        <v>100</v>
      </c>
      <c r="AA588" s="986">
        <f t="shared" si="283"/>
        <v>100</v>
      </c>
      <c r="AB588" s="986">
        <f t="shared" si="283"/>
        <v>100</v>
      </c>
      <c r="AC588" s="986">
        <f t="shared" si="283"/>
        <v>100</v>
      </c>
      <c r="AD588" s="986">
        <f t="shared" si="283"/>
        <v>100</v>
      </c>
      <c r="AE588" s="986">
        <f t="shared" si="283"/>
        <v>100</v>
      </c>
      <c r="AF588" s="986">
        <f t="shared" si="283"/>
        <v>100</v>
      </c>
    </row>
    <row r="589" spans="1:32" s="1010" customFormat="1" ht="14.25" customHeight="1" outlineLevel="3">
      <c r="A589" s="999"/>
      <c r="B589" s="999"/>
      <c r="C589" s="1957" t="s">
        <v>1811</v>
      </c>
      <c r="D589" s="1957"/>
      <c r="E589" s="1957"/>
      <c r="F589" s="998">
        <f>SUM(F590:F592)</f>
        <v>104940.00009999998</v>
      </c>
      <c r="G589" s="997">
        <v>2.1191146598209969E-2</v>
      </c>
      <c r="H589" s="996">
        <f t="shared" ref="H589:AF589" si="284">+SUMPRODUCT(H590:H592,$G590:$G592)/$G589</f>
        <v>99.999999999999986</v>
      </c>
      <c r="I589" s="996">
        <f t="shared" si="284"/>
        <v>101.30434782608694</v>
      </c>
      <c r="J589" s="996">
        <f t="shared" si="284"/>
        <v>105.67892976588629</v>
      </c>
      <c r="K589" s="996">
        <f t="shared" si="284"/>
        <v>105.67892976588629</v>
      </c>
      <c r="L589" s="996">
        <f t="shared" si="284"/>
        <v>102.76628952299627</v>
      </c>
      <c r="M589" s="996">
        <f t="shared" si="284"/>
        <v>107.72608458454897</v>
      </c>
      <c r="N589" s="996">
        <f t="shared" si="284"/>
        <v>122.48126141511896</v>
      </c>
      <c r="O589" s="996">
        <f t="shared" si="284"/>
        <v>122.48126141511896</v>
      </c>
      <c r="P589" s="996">
        <f t="shared" si="284"/>
        <v>126.09991935292582</v>
      </c>
      <c r="Q589" s="996">
        <f t="shared" si="284"/>
        <v>122.83904978770842</v>
      </c>
      <c r="R589" s="996">
        <f t="shared" si="284"/>
        <v>122.83904978770842</v>
      </c>
      <c r="S589" s="996">
        <f t="shared" si="284"/>
        <v>123.58373063877225</v>
      </c>
      <c r="T589" s="996">
        <f t="shared" si="284"/>
        <v>123.58373063877225</v>
      </c>
      <c r="U589" s="996">
        <f t="shared" si="284"/>
        <v>141.22993904029983</v>
      </c>
      <c r="V589" s="996">
        <f t="shared" si="284"/>
        <v>135.34706705567018</v>
      </c>
      <c r="W589" s="996">
        <f t="shared" si="284"/>
        <v>131.63028060437864</v>
      </c>
      <c r="X589" s="996">
        <f t="shared" si="284"/>
        <v>129.61991508337482</v>
      </c>
      <c r="Y589" s="996">
        <f t="shared" si="284"/>
        <v>127.66339334424438</v>
      </c>
      <c r="Z589" s="996">
        <f t="shared" si="284"/>
        <v>127.66339334424438</v>
      </c>
      <c r="AA589" s="996">
        <f t="shared" si="284"/>
        <v>127.66339334424438</v>
      </c>
      <c r="AB589" s="996">
        <f t="shared" si="284"/>
        <v>128.43262411347519</v>
      </c>
      <c r="AC589" s="996">
        <f t="shared" si="284"/>
        <v>128.43262411347519</v>
      </c>
      <c r="AD589" s="996">
        <f t="shared" si="284"/>
        <v>128.43262411347519</v>
      </c>
      <c r="AE589" s="996">
        <f t="shared" si="284"/>
        <v>128.43262411347519</v>
      </c>
      <c r="AF589" s="996">
        <f t="shared" si="284"/>
        <v>128.43262411347519</v>
      </c>
    </row>
    <row r="590" spans="1:32" s="1010" customFormat="1" outlineLevel="4">
      <c r="A590" s="999"/>
      <c r="B590" s="999"/>
      <c r="C590" s="999"/>
      <c r="D590" s="1015">
        <f>+D588+1</f>
        <v>168</v>
      </c>
      <c r="E590" s="1014" t="s">
        <v>1810</v>
      </c>
      <c r="F590" s="988">
        <f>+'[11]7'!$P$200*0.2+'[11]7'!$P$201*0.2</f>
        <v>20988.000019999996</v>
      </c>
      <c r="G590" s="987">
        <v>4.238229319641993E-3</v>
      </c>
      <c r="H590" s="986">
        <f>IF(H248=0,100,H248/H248*100)</f>
        <v>100</v>
      </c>
      <c r="I590" s="986">
        <f t="shared" ref="I590:AF590" si="285">IF(I248=0,100,I248/H248*H590)</f>
        <v>100</v>
      </c>
      <c r="J590" s="986">
        <f t="shared" si="285"/>
        <v>102.30769230769229</v>
      </c>
      <c r="K590" s="986">
        <f t="shared" si="285"/>
        <v>102.30769230769229</v>
      </c>
      <c r="L590" s="986">
        <f t="shared" si="285"/>
        <v>99.230769230769212</v>
      </c>
      <c r="M590" s="986">
        <f t="shared" si="285"/>
        <v>103.07692307692307</v>
      </c>
      <c r="N590" s="986">
        <f t="shared" si="285"/>
        <v>107.69230769230766</v>
      </c>
      <c r="O590" s="986">
        <f t="shared" si="285"/>
        <v>107.69230769230766</v>
      </c>
      <c r="P590" s="986">
        <f t="shared" si="285"/>
        <v>114.61538461538458</v>
      </c>
      <c r="Q590" s="986">
        <f t="shared" si="285"/>
        <v>114.61538461538458</v>
      </c>
      <c r="R590" s="986">
        <f t="shared" si="285"/>
        <v>114.61538461538458</v>
      </c>
      <c r="S590" s="986">
        <f t="shared" si="285"/>
        <v>114.61538461538458</v>
      </c>
      <c r="T590" s="986">
        <f t="shared" si="285"/>
        <v>114.61538461538458</v>
      </c>
      <c r="U590" s="986">
        <f t="shared" si="285"/>
        <v>133.07692307692304</v>
      </c>
      <c r="V590" s="986">
        <f t="shared" si="285"/>
        <v>124.61538461538457</v>
      </c>
      <c r="W590" s="986">
        <f t="shared" si="285"/>
        <v>119.99999999999994</v>
      </c>
      <c r="X590" s="986">
        <f t="shared" si="285"/>
        <v>116.1538461538461</v>
      </c>
      <c r="Y590" s="986">
        <f t="shared" si="285"/>
        <v>116.1538461538461</v>
      </c>
      <c r="Z590" s="986">
        <f t="shared" si="285"/>
        <v>116.1538461538461</v>
      </c>
      <c r="AA590" s="986">
        <f t="shared" si="285"/>
        <v>116.1538461538461</v>
      </c>
      <c r="AB590" s="986">
        <f t="shared" si="285"/>
        <v>119.99999999999994</v>
      </c>
      <c r="AC590" s="986">
        <f t="shared" si="285"/>
        <v>119.99999999999994</v>
      </c>
      <c r="AD590" s="986">
        <f t="shared" si="285"/>
        <v>119.99999999999994</v>
      </c>
      <c r="AE590" s="986">
        <f t="shared" si="285"/>
        <v>119.99999999999994</v>
      </c>
      <c r="AF590" s="986">
        <f t="shared" si="285"/>
        <v>119.99999999999994</v>
      </c>
    </row>
    <row r="591" spans="1:32" s="1010" customFormat="1" outlineLevel="4">
      <c r="A591" s="999"/>
      <c r="B591" s="999"/>
      <c r="C591" s="999"/>
      <c r="D591" s="1015">
        <f>+D590+1</f>
        <v>169</v>
      </c>
      <c r="E591" s="1014" t="s">
        <v>1809</v>
      </c>
      <c r="F591" s="988">
        <f>+'[11]7'!$P$200*0.35+'[11]7'!$P$201*0.35</f>
        <v>36729.00003499999</v>
      </c>
      <c r="G591" s="987">
        <v>7.4169013093734878E-3</v>
      </c>
      <c r="H591" s="986">
        <f>IF(H249=0,100,H249/H249*100)</f>
        <v>100</v>
      </c>
      <c r="I591" s="986">
        <f t="shared" ref="I591:AF591" si="286">IF(I249=0,100,I249/H249*H591)</f>
        <v>100</v>
      </c>
      <c r="J591" s="986">
        <f t="shared" si="286"/>
        <v>100</v>
      </c>
      <c r="K591" s="986">
        <f t="shared" si="286"/>
        <v>100</v>
      </c>
      <c r="L591" s="986">
        <f t="shared" si="286"/>
        <v>97.163120567375884</v>
      </c>
      <c r="M591" s="986">
        <f t="shared" si="286"/>
        <v>103.54609929078015</v>
      </c>
      <c r="N591" s="986">
        <f t="shared" si="286"/>
        <v>114.18439716312056</v>
      </c>
      <c r="O591" s="986">
        <f t="shared" si="286"/>
        <v>114.18439716312056</v>
      </c>
      <c r="P591" s="986">
        <f t="shared" si="286"/>
        <v>120.56737588652481</v>
      </c>
      <c r="Q591" s="986">
        <f t="shared" si="286"/>
        <v>120.56737588652481</v>
      </c>
      <c r="R591" s="986">
        <f t="shared" si="286"/>
        <v>120.56737588652481</v>
      </c>
      <c r="S591" s="986">
        <f t="shared" si="286"/>
        <v>122.6950354609929</v>
      </c>
      <c r="T591" s="986">
        <f t="shared" si="286"/>
        <v>122.6950354609929</v>
      </c>
      <c r="U591" s="986">
        <f t="shared" si="286"/>
        <v>141.13475177304963</v>
      </c>
      <c r="V591" s="986">
        <f t="shared" si="286"/>
        <v>134.75177304964538</v>
      </c>
      <c r="W591" s="986">
        <f t="shared" si="286"/>
        <v>130.49645390070921</v>
      </c>
      <c r="X591" s="986">
        <f t="shared" si="286"/>
        <v>126.95035460992906</v>
      </c>
      <c r="Y591" s="986">
        <f t="shared" si="286"/>
        <v>126.95035460992906</v>
      </c>
      <c r="Z591" s="986">
        <f t="shared" si="286"/>
        <v>126.95035460992906</v>
      </c>
      <c r="AA591" s="986">
        <f t="shared" si="286"/>
        <v>126.95035460992906</v>
      </c>
      <c r="AB591" s="986">
        <f t="shared" si="286"/>
        <v>126.95035460992906</v>
      </c>
      <c r="AC591" s="986">
        <f t="shared" si="286"/>
        <v>126.95035460992906</v>
      </c>
      <c r="AD591" s="986">
        <f t="shared" si="286"/>
        <v>126.95035460992906</v>
      </c>
      <c r="AE591" s="986">
        <f t="shared" si="286"/>
        <v>126.95035460992906</v>
      </c>
      <c r="AF591" s="986">
        <f t="shared" si="286"/>
        <v>126.95035460992906</v>
      </c>
    </row>
    <row r="592" spans="1:32" outlineLevel="4">
      <c r="A592" s="999"/>
      <c r="B592" s="999"/>
      <c r="C592" s="999"/>
      <c r="D592" s="1015">
        <f>+D591+1</f>
        <v>170</v>
      </c>
      <c r="E592" s="1014" t="s">
        <v>1808</v>
      </c>
      <c r="F592" s="988">
        <f>+'[11]7'!$P$200*0.45+'[11]7'!$P$201*0.45</f>
        <v>47223.000045000001</v>
      </c>
      <c r="G592" s="987">
        <v>9.5360159691944869E-3</v>
      </c>
      <c r="H592" s="986">
        <f>IF(H250=0,100,H250/H250*100)</f>
        <v>100</v>
      </c>
      <c r="I592" s="986">
        <f t="shared" ref="I592:AF592" si="287">IF(I250=0,100,I250/H250*H592)</f>
        <v>102.89855072463767</v>
      </c>
      <c r="J592" s="986">
        <f t="shared" si="287"/>
        <v>111.59420289855073</v>
      </c>
      <c r="K592" s="986">
        <f t="shared" si="287"/>
        <v>111.59420289855073</v>
      </c>
      <c r="L592" s="986">
        <f t="shared" si="287"/>
        <v>108.69565217391305</v>
      </c>
      <c r="M592" s="986">
        <f t="shared" si="287"/>
        <v>113.04347826086958</v>
      </c>
      <c r="N592" s="986">
        <f t="shared" si="287"/>
        <v>135.50724637681159</v>
      </c>
      <c r="O592" s="986">
        <f t="shared" si="287"/>
        <v>135.50724637681159</v>
      </c>
      <c r="P592" s="986">
        <f t="shared" si="287"/>
        <v>135.50724637681159</v>
      </c>
      <c r="Q592" s="986">
        <f t="shared" si="287"/>
        <v>128.2608695652174</v>
      </c>
      <c r="R592" s="986">
        <f t="shared" si="287"/>
        <v>128.2608695652174</v>
      </c>
      <c r="S592" s="986">
        <f t="shared" si="287"/>
        <v>128.2608695652174</v>
      </c>
      <c r="T592" s="986">
        <f t="shared" si="287"/>
        <v>128.2608695652174</v>
      </c>
      <c r="U592" s="986">
        <f t="shared" si="287"/>
        <v>144.92753623188409</v>
      </c>
      <c r="V592" s="986">
        <f t="shared" si="287"/>
        <v>140.57971014492756</v>
      </c>
      <c r="W592" s="986">
        <f t="shared" si="287"/>
        <v>137.68115942028987</v>
      </c>
      <c r="X592" s="986">
        <f t="shared" si="287"/>
        <v>137.68115942028987</v>
      </c>
      <c r="Y592" s="986">
        <f t="shared" si="287"/>
        <v>133.33333333333334</v>
      </c>
      <c r="Z592" s="986">
        <f t="shared" si="287"/>
        <v>133.33333333333334</v>
      </c>
      <c r="AA592" s="986">
        <f t="shared" si="287"/>
        <v>133.33333333333334</v>
      </c>
      <c r="AB592" s="986">
        <f t="shared" si="287"/>
        <v>133.33333333333334</v>
      </c>
      <c r="AC592" s="986">
        <f t="shared" si="287"/>
        <v>133.33333333333334</v>
      </c>
      <c r="AD592" s="986">
        <f t="shared" si="287"/>
        <v>133.33333333333334</v>
      </c>
      <c r="AE592" s="986">
        <f t="shared" si="287"/>
        <v>133.33333333333334</v>
      </c>
      <c r="AF592" s="986">
        <f t="shared" si="287"/>
        <v>133.33333333333334</v>
      </c>
    </row>
    <row r="593" spans="1:32" s="1010" customFormat="1" outlineLevel="3">
      <c r="A593" s="999"/>
      <c r="B593" s="999"/>
      <c r="C593" s="1956" t="s">
        <v>1807</v>
      </c>
      <c r="D593" s="1956"/>
      <c r="E593" s="1956"/>
      <c r="F593" s="998">
        <f>SUM(F594)</f>
        <v>19172.285533999999</v>
      </c>
      <c r="G593" s="997">
        <v>3.871571497870947E-3</v>
      </c>
      <c r="H593" s="996">
        <f t="shared" ref="H593:AF593" si="288">+SUMPRODUCT(H594,$G594)/$G593</f>
        <v>100</v>
      </c>
      <c r="I593" s="996">
        <f t="shared" si="288"/>
        <v>100</v>
      </c>
      <c r="J593" s="996">
        <f t="shared" si="288"/>
        <v>100</v>
      </c>
      <c r="K593" s="996">
        <f t="shared" si="288"/>
        <v>100</v>
      </c>
      <c r="L593" s="996">
        <f t="shared" si="288"/>
        <v>100</v>
      </c>
      <c r="M593" s="996">
        <f t="shared" si="288"/>
        <v>100</v>
      </c>
      <c r="N593" s="996">
        <f t="shared" si="288"/>
        <v>100</v>
      </c>
      <c r="O593" s="996">
        <f t="shared" si="288"/>
        <v>100</v>
      </c>
      <c r="P593" s="996">
        <f t="shared" si="288"/>
        <v>100</v>
      </c>
      <c r="Q593" s="996">
        <f t="shared" si="288"/>
        <v>100</v>
      </c>
      <c r="R593" s="996">
        <f t="shared" si="288"/>
        <v>93.333333333333329</v>
      </c>
      <c r="S593" s="996">
        <f t="shared" si="288"/>
        <v>99.999999999999986</v>
      </c>
      <c r="T593" s="996">
        <f t="shared" si="288"/>
        <v>99.999999999999986</v>
      </c>
      <c r="U593" s="996">
        <f t="shared" si="288"/>
        <v>99.999999999999986</v>
      </c>
      <c r="V593" s="996">
        <f t="shared" si="288"/>
        <v>99.999999999999986</v>
      </c>
      <c r="W593" s="996">
        <f t="shared" si="288"/>
        <v>99.999999999999986</v>
      </c>
      <c r="X593" s="996">
        <f t="shared" si="288"/>
        <v>99.999999999999986</v>
      </c>
      <c r="Y593" s="996">
        <f t="shared" si="288"/>
        <v>99.999999999999986</v>
      </c>
      <c r="Z593" s="996">
        <f t="shared" si="288"/>
        <v>99.999999999999986</v>
      </c>
      <c r="AA593" s="996">
        <f t="shared" si="288"/>
        <v>93.333333333333329</v>
      </c>
      <c r="AB593" s="996">
        <f t="shared" si="288"/>
        <v>93.333333333333329</v>
      </c>
      <c r="AC593" s="996">
        <f t="shared" si="288"/>
        <v>86.666666666666671</v>
      </c>
      <c r="AD593" s="996">
        <f t="shared" si="288"/>
        <v>83.333333333333343</v>
      </c>
      <c r="AE593" s="996">
        <f t="shared" si="288"/>
        <v>83.333333333333343</v>
      </c>
      <c r="AF593" s="996">
        <f t="shared" si="288"/>
        <v>83.333333333333343</v>
      </c>
    </row>
    <row r="594" spans="1:32" outlineLevel="4">
      <c r="A594" s="999"/>
      <c r="B594" s="999"/>
      <c r="C594" s="999"/>
      <c r="D594" s="1015">
        <f>+D592+1</f>
        <v>171</v>
      </c>
      <c r="E594" s="1014" t="s">
        <v>1806</v>
      </c>
      <c r="F594" s="988">
        <f>+'[11]7'!$P$197+'[11]7'!$P$203+'[11]7'!$P$205+'[11]7'!$P$202+'[11]7'!$P$204+'[11]7'!$P$206</f>
        <v>19172.285533999999</v>
      </c>
      <c r="G594" s="987">
        <v>3.871571497870947E-3</v>
      </c>
      <c r="H594" s="986">
        <f>IF(H252=0,100,H252/H252*100)</f>
        <v>100</v>
      </c>
      <c r="I594" s="986">
        <f t="shared" ref="I594:AF594" si="289">IF(I252=0,100,I252/H252*H594)</f>
        <v>100</v>
      </c>
      <c r="J594" s="986">
        <f t="shared" si="289"/>
        <v>100</v>
      </c>
      <c r="K594" s="986">
        <f t="shared" si="289"/>
        <v>100</v>
      </c>
      <c r="L594" s="986">
        <f t="shared" si="289"/>
        <v>100</v>
      </c>
      <c r="M594" s="986">
        <f t="shared" si="289"/>
        <v>100</v>
      </c>
      <c r="N594" s="986">
        <f t="shared" si="289"/>
        <v>100</v>
      </c>
      <c r="O594" s="986">
        <f t="shared" si="289"/>
        <v>100</v>
      </c>
      <c r="P594" s="986">
        <f t="shared" si="289"/>
        <v>100</v>
      </c>
      <c r="Q594" s="986">
        <f t="shared" si="289"/>
        <v>100</v>
      </c>
      <c r="R594" s="986">
        <f t="shared" si="289"/>
        <v>93.333333333333329</v>
      </c>
      <c r="S594" s="986">
        <f t="shared" si="289"/>
        <v>99.999999999999986</v>
      </c>
      <c r="T594" s="986">
        <f t="shared" si="289"/>
        <v>99.999999999999986</v>
      </c>
      <c r="U594" s="986">
        <f t="shared" si="289"/>
        <v>99.999999999999986</v>
      </c>
      <c r="V594" s="986">
        <f t="shared" si="289"/>
        <v>99.999999999999986</v>
      </c>
      <c r="W594" s="986">
        <f t="shared" si="289"/>
        <v>99.999999999999986</v>
      </c>
      <c r="X594" s="986">
        <f t="shared" si="289"/>
        <v>99.999999999999986</v>
      </c>
      <c r="Y594" s="986">
        <f t="shared" si="289"/>
        <v>99.999999999999986</v>
      </c>
      <c r="Z594" s="986">
        <f t="shared" si="289"/>
        <v>99.999999999999986</v>
      </c>
      <c r="AA594" s="986">
        <f t="shared" si="289"/>
        <v>93.333333333333329</v>
      </c>
      <c r="AB594" s="986">
        <f t="shared" si="289"/>
        <v>93.333333333333329</v>
      </c>
      <c r="AC594" s="986">
        <f t="shared" si="289"/>
        <v>86.666666666666671</v>
      </c>
      <c r="AD594" s="986">
        <f t="shared" si="289"/>
        <v>83.333333333333343</v>
      </c>
      <c r="AE594" s="986">
        <f t="shared" si="289"/>
        <v>83.333333333333343</v>
      </c>
      <c r="AF594" s="986">
        <f t="shared" si="289"/>
        <v>83.333333333333343</v>
      </c>
    </row>
    <row r="595" spans="1:32" outlineLevel="2">
      <c r="A595" s="999"/>
      <c r="B595" s="1028" t="s">
        <v>1805</v>
      </c>
      <c r="C595" s="1028"/>
      <c r="D595" s="1028"/>
      <c r="E595" s="1024"/>
      <c r="F595" s="1020">
        <f>+F596+F598+F602</f>
        <v>132107.28529</v>
      </c>
      <c r="G595" s="1019">
        <v>2.6677195031486738E-2</v>
      </c>
      <c r="H595" s="1018">
        <f t="shared" ref="H595:AF595" si="290">+($G$596*H596+$G$598*H598+$G$602*H602)/$G$595</f>
        <v>100</v>
      </c>
      <c r="I595" s="1018">
        <f t="shared" si="290"/>
        <v>100</v>
      </c>
      <c r="J595" s="1018">
        <f t="shared" si="290"/>
        <v>100</v>
      </c>
      <c r="K595" s="1018">
        <f t="shared" si="290"/>
        <v>100</v>
      </c>
      <c r="L595" s="1018">
        <f t="shared" si="290"/>
        <v>100</v>
      </c>
      <c r="M595" s="1018">
        <f t="shared" si="290"/>
        <v>100</v>
      </c>
      <c r="N595" s="1018">
        <f t="shared" si="290"/>
        <v>101.73025753902641</v>
      </c>
      <c r="O595" s="1018">
        <f t="shared" si="290"/>
        <v>109.97534084130514</v>
      </c>
      <c r="P595" s="1018">
        <f t="shared" si="290"/>
        <v>109.97534084130514</v>
      </c>
      <c r="Q595" s="1018">
        <f t="shared" si="290"/>
        <v>109.97534084130514</v>
      </c>
      <c r="R595" s="1018">
        <f t="shared" si="290"/>
        <v>109.97534084130514</v>
      </c>
      <c r="S595" s="1018">
        <f t="shared" si="290"/>
        <v>109.97534084130514</v>
      </c>
      <c r="T595" s="1018">
        <f t="shared" si="290"/>
        <v>109.97534084130514</v>
      </c>
      <c r="U595" s="1018">
        <f t="shared" si="290"/>
        <v>113.43374417220303</v>
      </c>
      <c r="V595" s="1018">
        <f t="shared" si="290"/>
        <v>123.35963624298802</v>
      </c>
      <c r="W595" s="1018">
        <f t="shared" si="290"/>
        <v>123.35963624298802</v>
      </c>
      <c r="X595" s="1018">
        <f t="shared" si="290"/>
        <v>123.35963624298802</v>
      </c>
      <c r="Y595" s="1018">
        <f t="shared" si="290"/>
        <v>123.35963624298802</v>
      </c>
      <c r="Z595" s="1018">
        <f t="shared" si="290"/>
        <v>123.35963624298802</v>
      </c>
      <c r="AA595" s="1018">
        <f t="shared" si="290"/>
        <v>123.35963624298802</v>
      </c>
      <c r="AB595" s="1018">
        <f t="shared" si="290"/>
        <v>122.2755810909006</v>
      </c>
      <c r="AC595" s="1018">
        <f t="shared" si="290"/>
        <v>122.2755810909006</v>
      </c>
      <c r="AD595" s="1018">
        <f t="shared" si="290"/>
        <v>122.2755810909006</v>
      </c>
      <c r="AE595" s="1018">
        <f t="shared" si="290"/>
        <v>122.2755810909006</v>
      </c>
      <c r="AF595" s="1018">
        <f t="shared" si="290"/>
        <v>122.2755810909006</v>
      </c>
    </row>
    <row r="596" spans="1:32" s="1010" customFormat="1" outlineLevel="3">
      <c r="A596" s="999"/>
      <c r="B596" s="999"/>
      <c r="C596" s="1956" t="s">
        <v>1804</v>
      </c>
      <c r="D596" s="1956"/>
      <c r="E596" s="1956"/>
      <c r="F596" s="998">
        <f>SUM(F597)</f>
        <v>4930.4216900000001</v>
      </c>
      <c r="G596" s="997">
        <v>9.9562882336784149E-4</v>
      </c>
      <c r="H596" s="996">
        <f t="shared" ref="H596:AF596" si="291">+SUMPRODUCT(H597,$G597)/$G596</f>
        <v>100</v>
      </c>
      <c r="I596" s="996">
        <f t="shared" si="291"/>
        <v>100</v>
      </c>
      <c r="J596" s="996">
        <f t="shared" si="291"/>
        <v>100</v>
      </c>
      <c r="K596" s="996">
        <f t="shared" si="291"/>
        <v>100</v>
      </c>
      <c r="L596" s="996">
        <f t="shared" si="291"/>
        <v>100</v>
      </c>
      <c r="M596" s="996">
        <f t="shared" si="291"/>
        <v>100</v>
      </c>
      <c r="N596" s="996">
        <f t="shared" si="291"/>
        <v>100</v>
      </c>
      <c r="O596" s="996">
        <f t="shared" si="291"/>
        <v>100</v>
      </c>
      <c r="P596" s="996">
        <f t="shared" si="291"/>
        <v>100</v>
      </c>
      <c r="Q596" s="996">
        <f t="shared" si="291"/>
        <v>100</v>
      </c>
      <c r="R596" s="996">
        <f t="shared" si="291"/>
        <v>100</v>
      </c>
      <c r="S596" s="996">
        <f t="shared" si="291"/>
        <v>100</v>
      </c>
      <c r="T596" s="996">
        <f t="shared" si="291"/>
        <v>100</v>
      </c>
      <c r="U596" s="996">
        <f t="shared" si="291"/>
        <v>100</v>
      </c>
      <c r="V596" s="996">
        <f t="shared" si="291"/>
        <v>100</v>
      </c>
      <c r="W596" s="996">
        <f t="shared" si="291"/>
        <v>100</v>
      </c>
      <c r="X596" s="996">
        <f t="shared" si="291"/>
        <v>100</v>
      </c>
      <c r="Y596" s="996">
        <f t="shared" si="291"/>
        <v>100</v>
      </c>
      <c r="Z596" s="996">
        <f t="shared" si="291"/>
        <v>100</v>
      </c>
      <c r="AA596" s="996">
        <f t="shared" si="291"/>
        <v>100</v>
      </c>
      <c r="AB596" s="996">
        <f t="shared" si="291"/>
        <v>100</v>
      </c>
      <c r="AC596" s="996">
        <f t="shared" si="291"/>
        <v>100</v>
      </c>
      <c r="AD596" s="996">
        <f t="shared" si="291"/>
        <v>100</v>
      </c>
      <c r="AE596" s="996">
        <f t="shared" si="291"/>
        <v>100</v>
      </c>
      <c r="AF596" s="996">
        <f t="shared" si="291"/>
        <v>100</v>
      </c>
    </row>
    <row r="597" spans="1:32" outlineLevel="4">
      <c r="A597" s="999"/>
      <c r="B597" s="999"/>
      <c r="C597" s="999"/>
      <c r="D597" s="1017">
        <f>+D594+1</f>
        <v>172</v>
      </c>
      <c r="E597" s="1014" t="s">
        <v>1803</v>
      </c>
      <c r="F597" s="988">
        <f>+'[11]7'!$P$208+'[11]7'!$P$209+'[11]7'!$P$210+600+4000</f>
        <v>4930.4216900000001</v>
      </c>
      <c r="G597" s="987">
        <v>9.9562882336784149E-4</v>
      </c>
      <c r="H597" s="986">
        <f>IF(H255=0,100,H255/H255*100)</f>
        <v>100</v>
      </c>
      <c r="I597" s="986">
        <f t="shared" ref="I597:AF597" si="292">IF(I255=0,100,I255/H255*H597)</f>
        <v>100</v>
      </c>
      <c r="J597" s="986">
        <f t="shared" si="292"/>
        <v>100</v>
      </c>
      <c r="K597" s="986">
        <f t="shared" si="292"/>
        <v>100</v>
      </c>
      <c r="L597" s="986">
        <f t="shared" si="292"/>
        <v>100</v>
      </c>
      <c r="M597" s="986">
        <f t="shared" si="292"/>
        <v>100</v>
      </c>
      <c r="N597" s="986">
        <f t="shared" si="292"/>
        <v>100</v>
      </c>
      <c r="O597" s="986">
        <f t="shared" si="292"/>
        <v>100</v>
      </c>
      <c r="P597" s="986">
        <f t="shared" si="292"/>
        <v>100</v>
      </c>
      <c r="Q597" s="986">
        <f t="shared" si="292"/>
        <v>100</v>
      </c>
      <c r="R597" s="986">
        <f t="shared" si="292"/>
        <v>100</v>
      </c>
      <c r="S597" s="986">
        <f t="shared" si="292"/>
        <v>100</v>
      </c>
      <c r="T597" s="986">
        <f t="shared" si="292"/>
        <v>100</v>
      </c>
      <c r="U597" s="986">
        <f t="shared" si="292"/>
        <v>100</v>
      </c>
      <c r="V597" s="986">
        <f t="shared" si="292"/>
        <v>100</v>
      </c>
      <c r="W597" s="986">
        <f t="shared" si="292"/>
        <v>100</v>
      </c>
      <c r="X597" s="986">
        <f t="shared" si="292"/>
        <v>100</v>
      </c>
      <c r="Y597" s="986">
        <f t="shared" si="292"/>
        <v>100</v>
      </c>
      <c r="Z597" s="986">
        <f t="shared" si="292"/>
        <v>100</v>
      </c>
      <c r="AA597" s="986">
        <f t="shared" si="292"/>
        <v>100</v>
      </c>
      <c r="AB597" s="986">
        <f t="shared" si="292"/>
        <v>100</v>
      </c>
      <c r="AC597" s="986">
        <f t="shared" si="292"/>
        <v>100</v>
      </c>
      <c r="AD597" s="986">
        <f t="shared" si="292"/>
        <v>100</v>
      </c>
      <c r="AE597" s="986">
        <f t="shared" si="292"/>
        <v>100</v>
      </c>
      <c r="AF597" s="986">
        <f t="shared" si="292"/>
        <v>100</v>
      </c>
    </row>
    <row r="598" spans="1:32" s="1010" customFormat="1" outlineLevel="3">
      <c r="A598" s="999"/>
      <c r="B598" s="999"/>
      <c r="C598" s="1956" t="s">
        <v>1802</v>
      </c>
      <c r="D598" s="1956"/>
      <c r="E598" s="1956"/>
      <c r="F598" s="998">
        <f>SUM(F599:F601)</f>
        <v>120929.30429999999</v>
      </c>
      <c r="G598" s="997">
        <v>2.441996010099912E-2</v>
      </c>
      <c r="H598" s="996">
        <f t="shared" ref="H598:AF598" si="293">+SUMPRODUCT(H599:H601,$G599:$G601)/$G598</f>
        <v>99.999999999999986</v>
      </c>
      <c r="I598" s="996">
        <f t="shared" si="293"/>
        <v>99.999999999999986</v>
      </c>
      <c r="J598" s="996">
        <f t="shared" si="293"/>
        <v>99.999999999999986</v>
      </c>
      <c r="K598" s="996">
        <f t="shared" si="293"/>
        <v>99.999999999999986</v>
      </c>
      <c r="L598" s="996">
        <f t="shared" si="293"/>
        <v>99.999999999999986</v>
      </c>
      <c r="M598" s="996">
        <f t="shared" si="293"/>
        <v>99.999999999999986</v>
      </c>
      <c r="N598" s="996">
        <f t="shared" si="293"/>
        <v>101.89019218837376</v>
      </c>
      <c r="O598" s="996">
        <f t="shared" si="293"/>
        <v>110.74213892341031</v>
      </c>
      <c r="P598" s="996">
        <f t="shared" si="293"/>
        <v>110.74213892341031</v>
      </c>
      <c r="Q598" s="996">
        <f t="shared" si="293"/>
        <v>110.74213892341031</v>
      </c>
      <c r="R598" s="996">
        <f t="shared" si="293"/>
        <v>110.74213892341031</v>
      </c>
      <c r="S598" s="996">
        <f t="shared" si="293"/>
        <v>110.74213892341031</v>
      </c>
      <c r="T598" s="996">
        <f t="shared" si="293"/>
        <v>110.74213892341031</v>
      </c>
      <c r="U598" s="996">
        <f t="shared" si="293"/>
        <v>114.25535643612089</v>
      </c>
      <c r="V598" s="996">
        <f t="shared" si="293"/>
        <v>125.0987385521705</v>
      </c>
      <c r="W598" s="996">
        <f t="shared" si="293"/>
        <v>125.0987385521705</v>
      </c>
      <c r="X598" s="996">
        <f t="shared" si="293"/>
        <v>125.0987385521705</v>
      </c>
      <c r="Y598" s="996">
        <f t="shared" si="293"/>
        <v>125.0987385521705</v>
      </c>
      <c r="Z598" s="996">
        <f t="shared" si="293"/>
        <v>125.0987385521705</v>
      </c>
      <c r="AA598" s="996">
        <f t="shared" si="293"/>
        <v>125.0987385521705</v>
      </c>
      <c r="AB598" s="996">
        <f t="shared" si="293"/>
        <v>125.0987385521705</v>
      </c>
      <c r="AC598" s="996">
        <f t="shared" si="293"/>
        <v>125.0987385521705</v>
      </c>
      <c r="AD598" s="996">
        <f t="shared" si="293"/>
        <v>125.0987385521705</v>
      </c>
      <c r="AE598" s="996">
        <f t="shared" si="293"/>
        <v>125.0987385521705</v>
      </c>
      <c r="AF598" s="996">
        <f t="shared" si="293"/>
        <v>125.0987385521705</v>
      </c>
    </row>
    <row r="599" spans="1:32" s="1010" customFormat="1" outlineLevel="4">
      <c r="A599" s="999"/>
      <c r="B599" s="999"/>
      <c r="C599" s="999"/>
      <c r="D599" s="1015">
        <f>+D597+1</f>
        <v>173</v>
      </c>
      <c r="E599" s="1014" t="s">
        <v>1801</v>
      </c>
      <c r="F599" s="988">
        <f>+'[11]7'!$P$207+'[11]7'!$P$218+'[11]7'!$P$219+'[11]7'!$P$220</f>
        <v>5888.1397000000015</v>
      </c>
      <c r="G599" s="987">
        <v>1.1890264098964882E-3</v>
      </c>
      <c r="H599" s="986">
        <f>IF(H257=0,100,H257/H257*100)</f>
        <v>100</v>
      </c>
      <c r="I599" s="986">
        <f t="shared" ref="I599:AF599" si="294">IF(I257=0,100,I257/H257*H599)</f>
        <v>100</v>
      </c>
      <c r="J599" s="986">
        <f t="shared" si="294"/>
        <v>100</v>
      </c>
      <c r="K599" s="986">
        <f t="shared" si="294"/>
        <v>100</v>
      </c>
      <c r="L599" s="986">
        <f t="shared" si="294"/>
        <v>100</v>
      </c>
      <c r="M599" s="986">
        <f t="shared" si="294"/>
        <v>100</v>
      </c>
      <c r="N599" s="986">
        <f t="shared" si="294"/>
        <v>100</v>
      </c>
      <c r="O599" s="986">
        <f t="shared" si="294"/>
        <v>133.33333333333331</v>
      </c>
      <c r="P599" s="986">
        <f t="shared" si="294"/>
        <v>133.33333333333331</v>
      </c>
      <c r="Q599" s="986">
        <f t="shared" si="294"/>
        <v>133.33333333333331</v>
      </c>
      <c r="R599" s="986">
        <f t="shared" si="294"/>
        <v>133.33333333333331</v>
      </c>
      <c r="S599" s="986">
        <f t="shared" si="294"/>
        <v>133.33333333333331</v>
      </c>
      <c r="T599" s="986">
        <f t="shared" si="294"/>
        <v>133.33333333333331</v>
      </c>
      <c r="U599" s="986">
        <f t="shared" si="294"/>
        <v>166.66666666666663</v>
      </c>
      <c r="V599" s="986">
        <f t="shared" si="294"/>
        <v>166.66666666666663</v>
      </c>
      <c r="W599" s="986">
        <f t="shared" si="294"/>
        <v>166.66666666666663</v>
      </c>
      <c r="X599" s="986">
        <f t="shared" si="294"/>
        <v>166.66666666666663</v>
      </c>
      <c r="Y599" s="986">
        <f t="shared" si="294"/>
        <v>166.66666666666663</v>
      </c>
      <c r="Z599" s="986">
        <f t="shared" si="294"/>
        <v>166.66666666666663</v>
      </c>
      <c r="AA599" s="986">
        <f t="shared" si="294"/>
        <v>166.66666666666663</v>
      </c>
      <c r="AB599" s="986">
        <f t="shared" si="294"/>
        <v>166.66666666666663</v>
      </c>
      <c r="AC599" s="986">
        <f t="shared" si="294"/>
        <v>166.66666666666663</v>
      </c>
      <c r="AD599" s="986">
        <f t="shared" si="294"/>
        <v>166.66666666666663</v>
      </c>
      <c r="AE599" s="986">
        <f t="shared" si="294"/>
        <v>166.66666666666663</v>
      </c>
      <c r="AF599" s="986">
        <f t="shared" si="294"/>
        <v>166.66666666666663</v>
      </c>
    </row>
    <row r="600" spans="1:32" s="1010" customFormat="1" outlineLevel="4">
      <c r="A600" s="999"/>
      <c r="B600" s="999"/>
      <c r="C600" s="999"/>
      <c r="D600" s="1015">
        <f>+D599+1</f>
        <v>174</v>
      </c>
      <c r="E600" s="1014" t="s">
        <v>1800</v>
      </c>
      <c r="F600" s="988">
        <f>+'[11]7'!$P$211-600</f>
        <v>13714.77758</v>
      </c>
      <c r="G600" s="987">
        <v>2.7695050693984456E-3</v>
      </c>
      <c r="H600" s="986">
        <f>IF(H258=0,100,H258/H258*100)</f>
        <v>100</v>
      </c>
      <c r="I600" s="986">
        <f t="shared" ref="I600:AF600" si="295">IF(I258=0,100,I258/H258*H600)</f>
        <v>100</v>
      </c>
      <c r="J600" s="986">
        <f t="shared" si="295"/>
        <v>100</v>
      </c>
      <c r="K600" s="986">
        <f t="shared" si="295"/>
        <v>100</v>
      </c>
      <c r="L600" s="986">
        <f t="shared" si="295"/>
        <v>100</v>
      </c>
      <c r="M600" s="986">
        <f t="shared" si="295"/>
        <v>100</v>
      </c>
      <c r="N600" s="986">
        <f t="shared" si="295"/>
        <v>116.66666666666667</v>
      </c>
      <c r="O600" s="986">
        <f t="shared" si="295"/>
        <v>116.66666666666667</v>
      </c>
      <c r="P600" s="986">
        <f t="shared" si="295"/>
        <v>116.66666666666667</v>
      </c>
      <c r="Q600" s="986">
        <f t="shared" si="295"/>
        <v>116.66666666666667</v>
      </c>
      <c r="R600" s="986">
        <f t="shared" si="295"/>
        <v>116.66666666666667</v>
      </c>
      <c r="S600" s="986">
        <f t="shared" si="295"/>
        <v>116.66666666666667</v>
      </c>
      <c r="T600" s="986">
        <f t="shared" si="295"/>
        <v>116.66666666666667</v>
      </c>
      <c r="U600" s="986">
        <f t="shared" si="295"/>
        <v>133.33333333333334</v>
      </c>
      <c r="V600" s="986">
        <f t="shared" si="295"/>
        <v>133.33333333333334</v>
      </c>
      <c r="W600" s="986">
        <f t="shared" si="295"/>
        <v>133.33333333333334</v>
      </c>
      <c r="X600" s="986">
        <f t="shared" si="295"/>
        <v>133.33333333333334</v>
      </c>
      <c r="Y600" s="986">
        <f t="shared" si="295"/>
        <v>133.33333333333334</v>
      </c>
      <c r="Z600" s="986">
        <f t="shared" si="295"/>
        <v>133.33333333333334</v>
      </c>
      <c r="AA600" s="986">
        <f t="shared" si="295"/>
        <v>133.33333333333334</v>
      </c>
      <c r="AB600" s="986">
        <f t="shared" si="295"/>
        <v>133.33333333333334</v>
      </c>
      <c r="AC600" s="986">
        <f t="shared" si="295"/>
        <v>133.33333333333334</v>
      </c>
      <c r="AD600" s="986">
        <f t="shared" si="295"/>
        <v>133.33333333333334</v>
      </c>
      <c r="AE600" s="986">
        <f t="shared" si="295"/>
        <v>133.33333333333334</v>
      </c>
      <c r="AF600" s="986">
        <f t="shared" si="295"/>
        <v>133.33333333333334</v>
      </c>
    </row>
    <row r="601" spans="1:32" outlineLevel="4">
      <c r="A601" s="999"/>
      <c r="B601" s="999"/>
      <c r="C601" s="999"/>
      <c r="D601" s="1015">
        <f>+D600+1</f>
        <v>175</v>
      </c>
      <c r="E601" s="1014" t="s">
        <v>1799</v>
      </c>
      <c r="F601" s="988">
        <f>+'[11]7'!$P$212+'[11]7'!$P$213+'[11]7'!$P$214-600</f>
        <v>101326.38701999999</v>
      </c>
      <c r="G601" s="987">
        <v>2.0461428621704185E-2</v>
      </c>
      <c r="H601" s="986">
        <f>IF(H259=0,100,H259/H259*100)</f>
        <v>100</v>
      </c>
      <c r="I601" s="986">
        <f t="shared" ref="I601:AF601" si="296">IF(I259=0,100,I259/H259*H601)</f>
        <v>100</v>
      </c>
      <c r="J601" s="986">
        <f t="shared" si="296"/>
        <v>100</v>
      </c>
      <c r="K601" s="986">
        <f t="shared" si="296"/>
        <v>100</v>
      </c>
      <c r="L601" s="986">
        <f t="shared" si="296"/>
        <v>100</v>
      </c>
      <c r="M601" s="986">
        <f t="shared" si="296"/>
        <v>100</v>
      </c>
      <c r="N601" s="986">
        <f t="shared" si="296"/>
        <v>100</v>
      </c>
      <c r="O601" s="986">
        <f t="shared" si="296"/>
        <v>108.62745098039215</v>
      </c>
      <c r="P601" s="986">
        <f t="shared" si="296"/>
        <v>108.62745098039215</v>
      </c>
      <c r="Q601" s="986">
        <f t="shared" si="296"/>
        <v>108.62745098039215</v>
      </c>
      <c r="R601" s="986">
        <f t="shared" si="296"/>
        <v>108.62745098039215</v>
      </c>
      <c r="S601" s="986">
        <f t="shared" si="296"/>
        <v>108.62745098039215</v>
      </c>
      <c r="T601" s="986">
        <f t="shared" si="296"/>
        <v>108.62745098039215</v>
      </c>
      <c r="U601" s="986">
        <f t="shared" si="296"/>
        <v>108.62745098039215</v>
      </c>
      <c r="V601" s="986">
        <f t="shared" si="296"/>
        <v>121.56862745098039</v>
      </c>
      <c r="W601" s="986">
        <f t="shared" si="296"/>
        <v>121.56862745098039</v>
      </c>
      <c r="X601" s="986">
        <f t="shared" si="296"/>
        <v>121.56862745098039</v>
      </c>
      <c r="Y601" s="986">
        <f t="shared" si="296"/>
        <v>121.56862745098039</v>
      </c>
      <c r="Z601" s="986">
        <f t="shared" si="296"/>
        <v>121.56862745098039</v>
      </c>
      <c r="AA601" s="986">
        <f t="shared" si="296"/>
        <v>121.56862745098039</v>
      </c>
      <c r="AB601" s="986">
        <f t="shared" si="296"/>
        <v>121.56862745098039</v>
      </c>
      <c r="AC601" s="986">
        <f t="shared" si="296"/>
        <v>121.56862745098039</v>
      </c>
      <c r="AD601" s="986">
        <f t="shared" si="296"/>
        <v>121.56862745098039</v>
      </c>
      <c r="AE601" s="986">
        <f t="shared" si="296"/>
        <v>121.56862745098039</v>
      </c>
      <c r="AF601" s="986">
        <f t="shared" si="296"/>
        <v>121.56862745098039</v>
      </c>
    </row>
    <row r="602" spans="1:32" s="1010" customFormat="1" outlineLevel="3">
      <c r="A602" s="999"/>
      <c r="B602" s="999"/>
      <c r="C602" s="1956" t="s">
        <v>1798</v>
      </c>
      <c r="D602" s="1956"/>
      <c r="E602" s="1956"/>
      <c r="F602" s="998">
        <f>SUM(F603)</f>
        <v>6247.5592999999999</v>
      </c>
      <c r="G602" s="997">
        <v>1.2616061071197776E-3</v>
      </c>
      <c r="H602" s="996">
        <f t="shared" ref="H602:AF602" si="297">+SUMPRODUCT(H603,$G603)/$G602</f>
        <v>100</v>
      </c>
      <c r="I602" s="996">
        <f t="shared" si="297"/>
        <v>100</v>
      </c>
      <c r="J602" s="996">
        <f t="shared" si="297"/>
        <v>100</v>
      </c>
      <c r="K602" s="996">
        <f t="shared" si="297"/>
        <v>100</v>
      </c>
      <c r="L602" s="996">
        <f t="shared" si="297"/>
        <v>100</v>
      </c>
      <c r="M602" s="996">
        <f t="shared" si="297"/>
        <v>100</v>
      </c>
      <c r="N602" s="996">
        <f t="shared" si="297"/>
        <v>100</v>
      </c>
      <c r="O602" s="996">
        <f t="shared" si="297"/>
        <v>103.00530347672363</v>
      </c>
      <c r="P602" s="996">
        <f t="shared" si="297"/>
        <v>103.00530347672363</v>
      </c>
      <c r="Q602" s="996">
        <f t="shared" si="297"/>
        <v>103.00530347672363</v>
      </c>
      <c r="R602" s="996">
        <f t="shared" si="297"/>
        <v>103.00530347672363</v>
      </c>
      <c r="S602" s="996">
        <f t="shared" si="297"/>
        <v>103.00530347672363</v>
      </c>
      <c r="T602" s="996">
        <f t="shared" si="297"/>
        <v>103.00530347672363</v>
      </c>
      <c r="U602" s="996">
        <f t="shared" si="297"/>
        <v>108.13199764289924</v>
      </c>
      <c r="V602" s="996">
        <f t="shared" si="297"/>
        <v>108.13199764289924</v>
      </c>
      <c r="W602" s="996">
        <f t="shared" si="297"/>
        <v>108.13199764289924</v>
      </c>
      <c r="X602" s="996">
        <f t="shared" si="297"/>
        <v>108.13199764289924</v>
      </c>
      <c r="Y602" s="996">
        <f t="shared" si="297"/>
        <v>108.13199764289924</v>
      </c>
      <c r="Z602" s="996">
        <f t="shared" si="297"/>
        <v>108.13199764289924</v>
      </c>
      <c r="AA602" s="996">
        <f t="shared" si="297"/>
        <v>108.13199764289924</v>
      </c>
      <c r="AB602" s="996">
        <f t="shared" si="297"/>
        <v>85.209192692987628</v>
      </c>
      <c r="AC602" s="996">
        <f t="shared" si="297"/>
        <v>85.209192692987628</v>
      </c>
      <c r="AD602" s="996">
        <f t="shared" si="297"/>
        <v>85.209192692987628</v>
      </c>
      <c r="AE602" s="996">
        <f t="shared" si="297"/>
        <v>85.209192692987628</v>
      </c>
      <c r="AF602" s="996">
        <f t="shared" si="297"/>
        <v>85.209192692987628</v>
      </c>
    </row>
    <row r="603" spans="1:32" outlineLevel="4">
      <c r="A603" s="999"/>
      <c r="B603" s="999"/>
      <c r="C603" s="999"/>
      <c r="D603" s="1017">
        <f>+D601+1</f>
        <v>176</v>
      </c>
      <c r="E603" s="1014" t="s">
        <v>1797</v>
      </c>
      <c r="F603" s="988">
        <f>+'[11]7'!$P$215+'[11]7'!$P$216+'[11]7'!$P$217+600+5000</f>
        <v>6247.5592999999999</v>
      </c>
      <c r="G603" s="987">
        <v>1.2616061071197776E-3</v>
      </c>
      <c r="H603" s="986">
        <f>IF(H261=0,100,H261/H261*100)</f>
        <v>100</v>
      </c>
      <c r="I603" s="986">
        <f t="shared" ref="I603:AF603" si="298">IF(I261=0,100,I261/H261*H603)</f>
        <v>100</v>
      </c>
      <c r="J603" s="986">
        <f t="shared" si="298"/>
        <v>100</v>
      </c>
      <c r="K603" s="986">
        <f t="shared" si="298"/>
        <v>100</v>
      </c>
      <c r="L603" s="986">
        <f t="shared" si="298"/>
        <v>100</v>
      </c>
      <c r="M603" s="986">
        <f t="shared" si="298"/>
        <v>100</v>
      </c>
      <c r="N603" s="986">
        <f t="shared" si="298"/>
        <v>100</v>
      </c>
      <c r="O603" s="986">
        <f t="shared" si="298"/>
        <v>103.00530347672363</v>
      </c>
      <c r="P603" s="986">
        <f t="shared" si="298"/>
        <v>103.00530347672363</v>
      </c>
      <c r="Q603" s="986">
        <f t="shared" si="298"/>
        <v>103.00530347672363</v>
      </c>
      <c r="R603" s="986">
        <f t="shared" si="298"/>
        <v>103.00530347672363</v>
      </c>
      <c r="S603" s="986">
        <f t="shared" si="298"/>
        <v>103.00530347672363</v>
      </c>
      <c r="T603" s="986">
        <f t="shared" si="298"/>
        <v>103.00530347672363</v>
      </c>
      <c r="U603" s="986">
        <f t="shared" si="298"/>
        <v>108.13199764289924</v>
      </c>
      <c r="V603" s="986">
        <f t="shared" si="298"/>
        <v>108.13199764289924</v>
      </c>
      <c r="W603" s="986">
        <f t="shared" si="298"/>
        <v>108.13199764289924</v>
      </c>
      <c r="X603" s="986">
        <f t="shared" si="298"/>
        <v>108.13199764289924</v>
      </c>
      <c r="Y603" s="986">
        <f t="shared" si="298"/>
        <v>108.13199764289924</v>
      </c>
      <c r="Z603" s="986">
        <f t="shared" si="298"/>
        <v>108.13199764289924</v>
      </c>
      <c r="AA603" s="986">
        <f t="shared" si="298"/>
        <v>108.13199764289924</v>
      </c>
      <c r="AB603" s="986">
        <f t="shared" si="298"/>
        <v>85.209192692987628</v>
      </c>
      <c r="AC603" s="986">
        <f t="shared" si="298"/>
        <v>85.209192692987628</v>
      </c>
      <c r="AD603" s="986">
        <f t="shared" si="298"/>
        <v>85.209192692987628</v>
      </c>
      <c r="AE603" s="986">
        <f t="shared" si="298"/>
        <v>85.209192692987628</v>
      </c>
      <c r="AF603" s="986">
        <f t="shared" si="298"/>
        <v>85.209192692987628</v>
      </c>
    </row>
    <row r="604" spans="1:32" outlineLevel="1">
      <c r="A604" s="1954" t="s">
        <v>1796</v>
      </c>
      <c r="B604" s="1954"/>
      <c r="C604" s="1954"/>
      <c r="D604" s="1954"/>
      <c r="E604" s="1954"/>
      <c r="F604" s="1023">
        <f>+F605</f>
        <v>274022.11686999997</v>
      </c>
      <c r="G604" s="1022">
        <v>5.5334885117309954E-2</v>
      </c>
      <c r="H604" s="1021">
        <f t="shared" ref="H604:AF604" si="299">+$G$605*H605/$G$604</f>
        <v>100</v>
      </c>
      <c r="I604" s="1021">
        <f t="shared" si="299"/>
        <v>100</v>
      </c>
      <c r="J604" s="1021">
        <f t="shared" si="299"/>
        <v>100</v>
      </c>
      <c r="K604" s="1021">
        <f t="shared" si="299"/>
        <v>100</v>
      </c>
      <c r="L604" s="1021">
        <f t="shared" si="299"/>
        <v>100</v>
      </c>
      <c r="M604" s="1021">
        <f t="shared" si="299"/>
        <v>100</v>
      </c>
      <c r="N604" s="1021">
        <f t="shared" si="299"/>
        <v>100</v>
      </c>
      <c r="O604" s="1021">
        <f t="shared" si="299"/>
        <v>100</v>
      </c>
      <c r="P604" s="1021">
        <f t="shared" si="299"/>
        <v>100</v>
      </c>
      <c r="Q604" s="1021">
        <f t="shared" si="299"/>
        <v>100</v>
      </c>
      <c r="R604" s="1021">
        <f t="shared" si="299"/>
        <v>100</v>
      </c>
      <c r="S604" s="1021">
        <f t="shared" si="299"/>
        <v>100</v>
      </c>
      <c r="T604" s="1021">
        <f t="shared" si="299"/>
        <v>100</v>
      </c>
      <c r="U604" s="1021">
        <f t="shared" si="299"/>
        <v>98.686531709411909</v>
      </c>
      <c r="V604" s="1021">
        <f t="shared" si="299"/>
        <v>96.986559945273001</v>
      </c>
      <c r="W604" s="1021">
        <f t="shared" si="299"/>
        <v>96.986559945273001</v>
      </c>
      <c r="X604" s="1021">
        <f t="shared" si="299"/>
        <v>97.836545827342462</v>
      </c>
      <c r="Y604" s="1021">
        <f t="shared" si="299"/>
        <v>96.986559945273001</v>
      </c>
      <c r="Z604" s="1021">
        <f t="shared" si="299"/>
        <v>95.286588181134107</v>
      </c>
      <c r="AA604" s="1021">
        <f t="shared" si="299"/>
        <v>93.586616416995184</v>
      </c>
      <c r="AB604" s="1021">
        <f t="shared" si="299"/>
        <v>93.586616416995184</v>
      </c>
      <c r="AC604" s="1021">
        <f t="shared" si="299"/>
        <v>93.586616416995184</v>
      </c>
      <c r="AD604" s="1021">
        <f t="shared" si="299"/>
        <v>93.586616416995184</v>
      </c>
      <c r="AE604" s="1021">
        <f t="shared" si="299"/>
        <v>93.586616416995184</v>
      </c>
      <c r="AF604" s="1021">
        <f t="shared" si="299"/>
        <v>93.586616416995184</v>
      </c>
    </row>
    <row r="605" spans="1:32" outlineLevel="2">
      <c r="A605" s="999"/>
      <c r="B605" s="1955" t="s">
        <v>1795</v>
      </c>
      <c r="C605" s="1955"/>
      <c r="D605" s="1955"/>
      <c r="E605" s="1955"/>
      <c r="F605" s="1020">
        <f>+F606</f>
        <v>274022.11686999997</v>
      </c>
      <c r="G605" s="1019">
        <v>5.5334885117309954E-2</v>
      </c>
      <c r="H605" s="1018">
        <f t="shared" ref="H605:AF605" si="300">+$G$606*H606/$G$605</f>
        <v>100</v>
      </c>
      <c r="I605" s="1018">
        <f t="shared" si="300"/>
        <v>100</v>
      </c>
      <c r="J605" s="1018">
        <f t="shared" si="300"/>
        <v>100</v>
      </c>
      <c r="K605" s="1018">
        <f t="shared" si="300"/>
        <v>100</v>
      </c>
      <c r="L605" s="1018">
        <f t="shared" si="300"/>
        <v>100</v>
      </c>
      <c r="M605" s="1018">
        <f t="shared" si="300"/>
        <v>100</v>
      </c>
      <c r="N605" s="1018">
        <f t="shared" si="300"/>
        <v>100</v>
      </c>
      <c r="O605" s="1018">
        <f t="shared" si="300"/>
        <v>100</v>
      </c>
      <c r="P605" s="1018">
        <f t="shared" si="300"/>
        <v>100</v>
      </c>
      <c r="Q605" s="1018">
        <f t="shared" si="300"/>
        <v>100</v>
      </c>
      <c r="R605" s="1018">
        <f t="shared" si="300"/>
        <v>100</v>
      </c>
      <c r="S605" s="1018">
        <f t="shared" si="300"/>
        <v>100</v>
      </c>
      <c r="T605" s="1018">
        <f t="shared" si="300"/>
        <v>100</v>
      </c>
      <c r="U605" s="1018">
        <f t="shared" si="300"/>
        <v>98.686531709411909</v>
      </c>
      <c r="V605" s="1018">
        <f t="shared" si="300"/>
        <v>96.986559945273001</v>
      </c>
      <c r="W605" s="1018">
        <f t="shared" si="300"/>
        <v>96.986559945273001</v>
      </c>
      <c r="X605" s="1018">
        <f t="shared" si="300"/>
        <v>97.836545827342462</v>
      </c>
      <c r="Y605" s="1018">
        <f t="shared" si="300"/>
        <v>96.986559945273001</v>
      </c>
      <c r="Z605" s="1018">
        <f t="shared" si="300"/>
        <v>95.286588181134107</v>
      </c>
      <c r="AA605" s="1018">
        <f t="shared" si="300"/>
        <v>93.586616416995184</v>
      </c>
      <c r="AB605" s="1018">
        <f t="shared" si="300"/>
        <v>93.586616416995184</v>
      </c>
      <c r="AC605" s="1018">
        <f t="shared" si="300"/>
        <v>93.586616416995184</v>
      </c>
      <c r="AD605" s="1018">
        <f t="shared" si="300"/>
        <v>93.586616416995184</v>
      </c>
      <c r="AE605" s="1018">
        <f t="shared" si="300"/>
        <v>93.586616416995184</v>
      </c>
      <c r="AF605" s="1018">
        <f t="shared" si="300"/>
        <v>93.586616416995184</v>
      </c>
    </row>
    <row r="606" spans="1:32" s="1010" customFormat="1" outlineLevel="3">
      <c r="A606" s="999"/>
      <c r="B606" s="999"/>
      <c r="C606" s="1956" t="s">
        <v>1794</v>
      </c>
      <c r="D606" s="1956"/>
      <c r="E606" s="1956"/>
      <c r="F606" s="998">
        <f>SUM(F607:F611)</f>
        <v>274022.11686999997</v>
      </c>
      <c r="G606" s="997">
        <v>5.5334885117309954E-2</v>
      </c>
      <c r="H606" s="996">
        <f t="shared" ref="H606:AF606" si="301">+SUMPRODUCT(H607:H611,$G607:$G611)/$G606</f>
        <v>100</v>
      </c>
      <c r="I606" s="996">
        <f t="shared" si="301"/>
        <v>100</v>
      </c>
      <c r="J606" s="996">
        <f t="shared" si="301"/>
        <v>100</v>
      </c>
      <c r="K606" s="996">
        <f t="shared" si="301"/>
        <v>100</v>
      </c>
      <c r="L606" s="996">
        <f t="shared" si="301"/>
        <v>100</v>
      </c>
      <c r="M606" s="996">
        <f t="shared" si="301"/>
        <v>100</v>
      </c>
      <c r="N606" s="996">
        <f t="shared" si="301"/>
        <v>100</v>
      </c>
      <c r="O606" s="996">
        <f t="shared" si="301"/>
        <v>100</v>
      </c>
      <c r="P606" s="996">
        <f t="shared" si="301"/>
        <v>100</v>
      </c>
      <c r="Q606" s="996">
        <f t="shared" si="301"/>
        <v>100</v>
      </c>
      <c r="R606" s="996">
        <f t="shared" si="301"/>
        <v>100</v>
      </c>
      <c r="S606" s="996">
        <f t="shared" si="301"/>
        <v>100</v>
      </c>
      <c r="T606" s="996">
        <f t="shared" si="301"/>
        <v>100</v>
      </c>
      <c r="U606" s="996">
        <f t="shared" si="301"/>
        <v>98.686531709411909</v>
      </c>
      <c r="V606" s="996">
        <f t="shared" si="301"/>
        <v>96.986559945273001</v>
      </c>
      <c r="W606" s="996">
        <f t="shared" si="301"/>
        <v>96.986559945273001</v>
      </c>
      <c r="X606" s="996">
        <f t="shared" si="301"/>
        <v>97.836545827342462</v>
      </c>
      <c r="Y606" s="996">
        <f t="shared" si="301"/>
        <v>96.986559945273001</v>
      </c>
      <c r="Z606" s="996">
        <f t="shared" si="301"/>
        <v>95.286588181134107</v>
      </c>
      <c r="AA606" s="996">
        <f t="shared" si="301"/>
        <v>93.586616416995184</v>
      </c>
      <c r="AB606" s="996">
        <f t="shared" si="301"/>
        <v>93.586616416995184</v>
      </c>
      <c r="AC606" s="996">
        <f t="shared" si="301"/>
        <v>93.586616416995184</v>
      </c>
      <c r="AD606" s="996">
        <f t="shared" si="301"/>
        <v>93.586616416995184</v>
      </c>
      <c r="AE606" s="996">
        <f t="shared" si="301"/>
        <v>93.586616416995184</v>
      </c>
      <c r="AF606" s="996">
        <f t="shared" si="301"/>
        <v>93.586616416995184</v>
      </c>
    </row>
    <row r="607" spans="1:32" s="1010" customFormat="1" outlineLevel="4">
      <c r="A607" s="999"/>
      <c r="B607" s="999"/>
      <c r="C607" s="999"/>
      <c r="D607" s="1017">
        <f>D603+1</f>
        <v>177</v>
      </c>
      <c r="E607" s="1014" t="s">
        <v>1793</v>
      </c>
      <c r="F607" s="988">
        <f>+'[11]7'!$P$224+'[11]7'!$P$225+'[11]7'!$P$226+'[11]7'!$P$227+'[11]7'!$P$229+'[11]7'!$P$230+'[11]7'!$P$231</f>
        <v>6460.8294699999997</v>
      </c>
      <c r="G607" s="987">
        <v>1.3046729970872682E-3</v>
      </c>
      <c r="H607" s="986">
        <f>IF(H265=0,100,H265/H265*100)</f>
        <v>100</v>
      </c>
      <c r="I607" s="986">
        <f t="shared" ref="I607:AF607" si="302">IF(I265=0,100,I265/H265*H607)</f>
        <v>100</v>
      </c>
      <c r="J607" s="986">
        <f t="shared" si="302"/>
        <v>100</v>
      </c>
      <c r="K607" s="986">
        <f t="shared" si="302"/>
        <v>100</v>
      </c>
      <c r="L607" s="986">
        <f t="shared" si="302"/>
        <v>100</v>
      </c>
      <c r="M607" s="986">
        <f t="shared" si="302"/>
        <v>100</v>
      </c>
      <c r="N607" s="986">
        <f t="shared" si="302"/>
        <v>100</v>
      </c>
      <c r="O607" s="986">
        <f t="shared" si="302"/>
        <v>100</v>
      </c>
      <c r="P607" s="986">
        <f t="shared" si="302"/>
        <v>100</v>
      </c>
      <c r="Q607" s="986">
        <f t="shared" si="302"/>
        <v>100</v>
      </c>
      <c r="R607" s="986">
        <f t="shared" si="302"/>
        <v>100</v>
      </c>
      <c r="S607" s="986">
        <f t="shared" si="302"/>
        <v>100</v>
      </c>
      <c r="T607" s="986">
        <f t="shared" si="302"/>
        <v>100</v>
      </c>
      <c r="U607" s="986">
        <f t="shared" si="302"/>
        <v>100</v>
      </c>
      <c r="V607" s="986">
        <f t="shared" si="302"/>
        <v>100</v>
      </c>
      <c r="W607" s="986">
        <f t="shared" si="302"/>
        <v>100</v>
      </c>
      <c r="X607" s="986">
        <f t="shared" si="302"/>
        <v>100</v>
      </c>
      <c r="Y607" s="986">
        <f t="shared" si="302"/>
        <v>100</v>
      </c>
      <c r="Z607" s="986">
        <f t="shared" si="302"/>
        <v>100</v>
      </c>
      <c r="AA607" s="986">
        <f t="shared" si="302"/>
        <v>100</v>
      </c>
      <c r="AB607" s="986">
        <f t="shared" si="302"/>
        <v>100</v>
      </c>
      <c r="AC607" s="986">
        <f t="shared" si="302"/>
        <v>100</v>
      </c>
      <c r="AD607" s="986">
        <f t="shared" si="302"/>
        <v>100</v>
      </c>
      <c r="AE607" s="986">
        <f t="shared" si="302"/>
        <v>100</v>
      </c>
      <c r="AF607" s="986">
        <f t="shared" si="302"/>
        <v>100</v>
      </c>
    </row>
    <row r="608" spans="1:32" s="1010" customFormat="1" ht="25.5" outlineLevel="4">
      <c r="A608" s="999"/>
      <c r="B608" s="999"/>
      <c r="C608" s="999"/>
      <c r="D608" s="1017">
        <f>+D607+1</f>
        <v>178</v>
      </c>
      <c r="E608" s="1014" t="s">
        <v>1792</v>
      </c>
      <c r="F608" s="988">
        <f>+('[11]7'!$P$228+'[11]7'!$P$232)*0.75</f>
        <v>147787.18634999997</v>
      </c>
      <c r="G608" s="987">
        <v>2.984352895269175E-2</v>
      </c>
      <c r="H608" s="986">
        <f>IF(H266=0,100,H266/H266*100)</f>
        <v>100</v>
      </c>
      <c r="I608" s="986">
        <f t="shared" ref="I608:AF608" si="303">IF(I266=0,100,I266/H266*H608)</f>
        <v>100</v>
      </c>
      <c r="J608" s="986">
        <f t="shared" si="303"/>
        <v>100</v>
      </c>
      <c r="K608" s="986">
        <f t="shared" si="303"/>
        <v>100</v>
      </c>
      <c r="L608" s="986">
        <f t="shared" si="303"/>
        <v>100</v>
      </c>
      <c r="M608" s="986">
        <f t="shared" si="303"/>
        <v>100</v>
      </c>
      <c r="N608" s="986">
        <f t="shared" si="303"/>
        <v>100</v>
      </c>
      <c r="O608" s="986">
        <f t="shared" si="303"/>
        <v>100</v>
      </c>
      <c r="P608" s="986">
        <f t="shared" si="303"/>
        <v>100</v>
      </c>
      <c r="Q608" s="986">
        <f t="shared" si="303"/>
        <v>100</v>
      </c>
      <c r="R608" s="986">
        <f t="shared" si="303"/>
        <v>100</v>
      </c>
      <c r="S608" s="986">
        <f t="shared" si="303"/>
        <v>100</v>
      </c>
      <c r="T608" s="986">
        <f t="shared" si="303"/>
        <v>100</v>
      </c>
      <c r="U608" s="986">
        <f t="shared" si="303"/>
        <v>100</v>
      </c>
      <c r="V608" s="986">
        <f t="shared" si="303"/>
        <v>100</v>
      </c>
      <c r="W608" s="986">
        <f t="shared" si="303"/>
        <v>100</v>
      </c>
      <c r="X608" s="986">
        <f t="shared" si="303"/>
        <v>100</v>
      </c>
      <c r="Y608" s="986">
        <f t="shared" si="303"/>
        <v>100</v>
      </c>
      <c r="Z608" s="986">
        <f t="shared" si="303"/>
        <v>100</v>
      </c>
      <c r="AA608" s="986">
        <f t="shared" si="303"/>
        <v>100</v>
      </c>
      <c r="AB608" s="986">
        <f t="shared" si="303"/>
        <v>100</v>
      </c>
      <c r="AC608" s="986">
        <f t="shared" si="303"/>
        <v>100</v>
      </c>
      <c r="AD608" s="986">
        <f t="shared" si="303"/>
        <v>100</v>
      </c>
      <c r="AE608" s="986">
        <f t="shared" si="303"/>
        <v>100</v>
      </c>
      <c r="AF608" s="986">
        <f t="shared" si="303"/>
        <v>100</v>
      </c>
    </row>
    <row r="609" spans="1:32" s="1010" customFormat="1" ht="25.5" outlineLevel="4">
      <c r="A609" s="999"/>
      <c r="B609" s="999"/>
      <c r="C609" s="999"/>
      <c r="D609" s="1017">
        <f>+D608+1</f>
        <v>179</v>
      </c>
      <c r="E609" s="1014" t="s">
        <v>1791</v>
      </c>
      <c r="F609" s="988">
        <f>+('[11]7'!$P$228+'[11]7'!$P$232)*0.25</f>
        <v>49262.395449999996</v>
      </c>
      <c r="G609" s="987">
        <v>9.9478429842305843E-3</v>
      </c>
      <c r="H609" s="986">
        <f>IF(H267=0,100,H267/H267*100)</f>
        <v>100</v>
      </c>
      <c r="I609" s="986">
        <f t="shared" ref="I609:AF609" si="304">IF(I267=0,100,I267/H267*H609)</f>
        <v>100</v>
      </c>
      <c r="J609" s="986">
        <f t="shared" si="304"/>
        <v>100</v>
      </c>
      <c r="K609" s="986">
        <f t="shared" si="304"/>
        <v>100</v>
      </c>
      <c r="L609" s="986">
        <f t="shared" si="304"/>
        <v>100</v>
      </c>
      <c r="M609" s="986">
        <f t="shared" si="304"/>
        <v>100</v>
      </c>
      <c r="N609" s="986">
        <f t="shared" si="304"/>
        <v>100</v>
      </c>
      <c r="O609" s="986">
        <f t="shared" si="304"/>
        <v>100</v>
      </c>
      <c r="P609" s="986">
        <f t="shared" si="304"/>
        <v>100</v>
      </c>
      <c r="Q609" s="986">
        <f t="shared" si="304"/>
        <v>100</v>
      </c>
      <c r="R609" s="986">
        <f t="shared" si="304"/>
        <v>100</v>
      </c>
      <c r="S609" s="986">
        <f t="shared" si="304"/>
        <v>100</v>
      </c>
      <c r="T609" s="986">
        <f t="shared" si="304"/>
        <v>100</v>
      </c>
      <c r="U609" s="986">
        <f t="shared" si="304"/>
        <v>100</v>
      </c>
      <c r="V609" s="986">
        <f t="shared" si="304"/>
        <v>100</v>
      </c>
      <c r="W609" s="986">
        <f t="shared" si="304"/>
        <v>100</v>
      </c>
      <c r="X609" s="986">
        <f t="shared" si="304"/>
        <v>100</v>
      </c>
      <c r="Y609" s="986">
        <f t="shared" si="304"/>
        <v>100</v>
      </c>
      <c r="Z609" s="986">
        <f t="shared" si="304"/>
        <v>100</v>
      </c>
      <c r="AA609" s="986">
        <f t="shared" si="304"/>
        <v>100</v>
      </c>
      <c r="AB609" s="986">
        <f t="shared" si="304"/>
        <v>100</v>
      </c>
      <c r="AC609" s="986">
        <f t="shared" si="304"/>
        <v>100</v>
      </c>
      <c r="AD609" s="986">
        <f t="shared" si="304"/>
        <v>100</v>
      </c>
      <c r="AE609" s="986">
        <f t="shared" si="304"/>
        <v>100</v>
      </c>
      <c r="AF609" s="986">
        <f t="shared" si="304"/>
        <v>100</v>
      </c>
    </row>
    <row r="610" spans="1:32" s="1010" customFormat="1" outlineLevel="4">
      <c r="A610" s="999"/>
      <c r="B610" s="999"/>
      <c r="C610" s="999"/>
      <c r="D610" s="1017">
        <f>+D609+1</f>
        <v>180</v>
      </c>
      <c r="E610" s="1012" t="s">
        <v>1790</v>
      </c>
      <c r="F610" s="988">
        <f>+'[11]7'!$P$233+'[11]7'!$P$221+'[11]7'!$P$222+4000</f>
        <v>5295.5249999999996</v>
      </c>
      <c r="G610" s="987">
        <v>1.0693562653187557E-3</v>
      </c>
      <c r="H610" s="986">
        <f>IF(H268=0,100,H268/H268*100)</f>
        <v>100</v>
      </c>
      <c r="I610" s="986">
        <f t="shared" ref="I610:AF610" si="305">IF(I268=0,100,I268/H268*H610)</f>
        <v>100</v>
      </c>
      <c r="J610" s="986">
        <f t="shared" si="305"/>
        <v>100</v>
      </c>
      <c r="K610" s="986">
        <f t="shared" si="305"/>
        <v>100</v>
      </c>
      <c r="L610" s="986">
        <f t="shared" si="305"/>
        <v>100</v>
      </c>
      <c r="M610" s="986">
        <f t="shared" si="305"/>
        <v>100</v>
      </c>
      <c r="N610" s="986">
        <f t="shared" si="305"/>
        <v>100</v>
      </c>
      <c r="O610" s="986">
        <f t="shared" si="305"/>
        <v>100</v>
      </c>
      <c r="P610" s="986">
        <f t="shared" si="305"/>
        <v>100</v>
      </c>
      <c r="Q610" s="986">
        <f t="shared" si="305"/>
        <v>100</v>
      </c>
      <c r="R610" s="986">
        <f t="shared" si="305"/>
        <v>100</v>
      </c>
      <c r="S610" s="986">
        <f t="shared" si="305"/>
        <v>100</v>
      </c>
      <c r="T610" s="986">
        <f t="shared" si="305"/>
        <v>100</v>
      </c>
      <c r="U610" s="986">
        <f t="shared" si="305"/>
        <v>120</v>
      </c>
      <c r="V610" s="986">
        <f t="shared" si="305"/>
        <v>120</v>
      </c>
      <c r="W610" s="986">
        <f t="shared" si="305"/>
        <v>120</v>
      </c>
      <c r="X610" s="986">
        <f t="shared" si="305"/>
        <v>120</v>
      </c>
      <c r="Y610" s="986">
        <f t="shared" si="305"/>
        <v>120</v>
      </c>
      <c r="Z610" s="986">
        <f t="shared" si="305"/>
        <v>120</v>
      </c>
      <c r="AA610" s="986">
        <f t="shared" si="305"/>
        <v>120</v>
      </c>
      <c r="AB610" s="986">
        <f t="shared" si="305"/>
        <v>120</v>
      </c>
      <c r="AC610" s="986">
        <f t="shared" si="305"/>
        <v>120</v>
      </c>
      <c r="AD610" s="986">
        <f t="shared" si="305"/>
        <v>120</v>
      </c>
      <c r="AE610" s="986">
        <f t="shared" si="305"/>
        <v>120</v>
      </c>
      <c r="AF610" s="986">
        <f t="shared" si="305"/>
        <v>120</v>
      </c>
    </row>
    <row r="611" spans="1:32" outlineLevel="4">
      <c r="A611" s="999"/>
      <c r="B611" s="999"/>
      <c r="C611" s="999"/>
      <c r="D611" s="1017">
        <f>+D610+1</f>
        <v>181</v>
      </c>
      <c r="E611" s="1012" t="s">
        <v>1789</v>
      </c>
      <c r="F611" s="988">
        <f>+'[11]7'!$P$223</f>
        <v>65216.180600000007</v>
      </c>
      <c r="G611" s="987">
        <v>1.3169483917981598E-2</v>
      </c>
      <c r="H611" s="986">
        <f>IF(H269=0,100,H269/H269*100)</f>
        <v>100</v>
      </c>
      <c r="I611" s="986">
        <f t="shared" ref="I611:AF611" si="306">IF(I269=0,100,I269/H269*H611)</f>
        <v>100</v>
      </c>
      <c r="J611" s="986">
        <f t="shared" si="306"/>
        <v>100</v>
      </c>
      <c r="K611" s="986">
        <f t="shared" si="306"/>
        <v>100</v>
      </c>
      <c r="L611" s="986">
        <f t="shared" si="306"/>
        <v>100</v>
      </c>
      <c r="M611" s="986">
        <f t="shared" si="306"/>
        <v>100</v>
      </c>
      <c r="N611" s="986">
        <f t="shared" si="306"/>
        <v>100</v>
      </c>
      <c r="O611" s="986">
        <f t="shared" si="306"/>
        <v>100</v>
      </c>
      <c r="P611" s="986">
        <f t="shared" si="306"/>
        <v>100</v>
      </c>
      <c r="Q611" s="986">
        <f t="shared" si="306"/>
        <v>100</v>
      </c>
      <c r="R611" s="986">
        <f t="shared" si="306"/>
        <v>100</v>
      </c>
      <c r="S611" s="986">
        <f t="shared" si="306"/>
        <v>100</v>
      </c>
      <c r="T611" s="986">
        <f t="shared" si="306"/>
        <v>100</v>
      </c>
      <c r="U611" s="986">
        <f t="shared" si="306"/>
        <v>92.857142857142861</v>
      </c>
      <c r="V611" s="986">
        <f t="shared" si="306"/>
        <v>85.714285714285722</v>
      </c>
      <c r="W611" s="986">
        <f t="shared" si="306"/>
        <v>85.714285714285722</v>
      </c>
      <c r="X611" s="986">
        <f t="shared" si="306"/>
        <v>89.285714285714306</v>
      </c>
      <c r="Y611" s="986">
        <f t="shared" si="306"/>
        <v>85.714285714285737</v>
      </c>
      <c r="Z611" s="986">
        <f t="shared" si="306"/>
        <v>78.571428571428584</v>
      </c>
      <c r="AA611" s="986">
        <f t="shared" si="306"/>
        <v>71.428571428571431</v>
      </c>
      <c r="AB611" s="986">
        <f t="shared" si="306"/>
        <v>71.428571428571431</v>
      </c>
      <c r="AC611" s="986">
        <f t="shared" si="306"/>
        <v>71.428571428571431</v>
      </c>
      <c r="AD611" s="986">
        <f t="shared" si="306"/>
        <v>71.428571428571431</v>
      </c>
      <c r="AE611" s="986">
        <f t="shared" si="306"/>
        <v>71.428571428571431</v>
      </c>
      <c r="AF611" s="986">
        <f t="shared" si="306"/>
        <v>71.428571428571431</v>
      </c>
    </row>
    <row r="612" spans="1:32" ht="14.25" customHeight="1" outlineLevel="1">
      <c r="A612" s="1954" t="s">
        <v>1788</v>
      </c>
      <c r="B612" s="1954"/>
      <c r="C612" s="1954"/>
      <c r="D612" s="1954"/>
      <c r="E612" s="1954"/>
      <c r="F612" s="1023">
        <f>+F613+F621+F628</f>
        <v>101568.616859</v>
      </c>
      <c r="G612" s="1022">
        <v>2.0510343506627171E-2</v>
      </c>
      <c r="H612" s="1021">
        <f t="shared" ref="H612:AF612" si="307">+($G$613*H613+$G$621*H621+$G$628*H628)/$G$612</f>
        <v>100</v>
      </c>
      <c r="I612" s="1021">
        <f t="shared" si="307"/>
        <v>101.59339957736294</v>
      </c>
      <c r="J612" s="1021">
        <f t="shared" si="307"/>
        <v>99.463315845769898</v>
      </c>
      <c r="K612" s="1021">
        <f t="shared" si="307"/>
        <v>99.463315845769898</v>
      </c>
      <c r="L612" s="1021">
        <f t="shared" si="307"/>
        <v>99.090892824306664</v>
      </c>
      <c r="M612" s="1021">
        <f t="shared" si="307"/>
        <v>99.00266475249326</v>
      </c>
      <c r="N612" s="1021">
        <f t="shared" si="307"/>
        <v>100.20944294301272</v>
      </c>
      <c r="O612" s="1021">
        <f t="shared" si="307"/>
        <v>100.21243761181536</v>
      </c>
      <c r="P612" s="1021">
        <f t="shared" si="307"/>
        <v>100.21243761181536</v>
      </c>
      <c r="Q612" s="1021">
        <f t="shared" si="307"/>
        <v>101.26089403786951</v>
      </c>
      <c r="R612" s="1021">
        <f t="shared" si="307"/>
        <v>101.2167800019628</v>
      </c>
      <c r="S612" s="1021">
        <f t="shared" si="307"/>
        <v>102.60108165510225</v>
      </c>
      <c r="T612" s="1021">
        <f t="shared" si="307"/>
        <v>102.51285358328887</v>
      </c>
      <c r="U612" s="1021">
        <f t="shared" si="307"/>
        <v>102.51285358328887</v>
      </c>
      <c r="V612" s="1021">
        <f t="shared" si="307"/>
        <v>102.88527660475209</v>
      </c>
      <c r="W612" s="1021">
        <f t="shared" si="307"/>
        <v>103.34930804717982</v>
      </c>
      <c r="X612" s="1021">
        <f t="shared" si="307"/>
        <v>103.74964859832262</v>
      </c>
      <c r="Y612" s="1021">
        <f t="shared" si="307"/>
        <v>103.74964859832262</v>
      </c>
      <c r="Z612" s="1021">
        <f t="shared" si="307"/>
        <v>103.15474681096782</v>
      </c>
      <c r="AA612" s="1021">
        <f t="shared" si="307"/>
        <v>106.76283339920057</v>
      </c>
      <c r="AB612" s="1021">
        <f t="shared" si="307"/>
        <v>106.76283339920057</v>
      </c>
      <c r="AC612" s="1021">
        <f t="shared" si="307"/>
        <v>106.41245427261597</v>
      </c>
      <c r="AD612" s="1021">
        <f t="shared" si="307"/>
        <v>105.72030344604626</v>
      </c>
      <c r="AE612" s="1021">
        <f t="shared" si="307"/>
        <v>105.84098126509821</v>
      </c>
      <c r="AF612" s="1021">
        <f t="shared" si="307"/>
        <v>106.26342820552725</v>
      </c>
    </row>
    <row r="613" spans="1:32" ht="14.25" customHeight="1" outlineLevel="2">
      <c r="A613" s="999"/>
      <c r="B613" s="1958" t="s">
        <v>1787</v>
      </c>
      <c r="C613" s="1958"/>
      <c r="D613" s="1958"/>
      <c r="E613" s="1958"/>
      <c r="F613" s="1020">
        <f>+F614+F618</f>
        <v>19803.365400000002</v>
      </c>
      <c r="G613" s="1019">
        <v>3.9990091378827725E-3</v>
      </c>
      <c r="H613" s="1018">
        <f t="shared" ref="H613:AF613" si="308">+($G$614*H614+$G$618*H618)/$G$613</f>
        <v>100</v>
      </c>
      <c r="I613" s="1018">
        <f t="shared" si="308"/>
        <v>101.91010418746657</v>
      </c>
      <c r="J613" s="1018">
        <f t="shared" si="308"/>
        <v>103.43681606922088</v>
      </c>
      <c r="K613" s="1018">
        <f t="shared" si="308"/>
        <v>103.43681606922088</v>
      </c>
      <c r="L613" s="1018">
        <f t="shared" si="308"/>
        <v>101.52671188175431</v>
      </c>
      <c r="M613" s="1018">
        <f t="shared" si="308"/>
        <v>101.07420277326599</v>
      </c>
      <c r="N613" s="1018">
        <f t="shared" si="308"/>
        <v>101.07420277326599</v>
      </c>
      <c r="O613" s="1018">
        <f t="shared" si="308"/>
        <v>101.08956199944254</v>
      </c>
      <c r="P613" s="1018">
        <f t="shared" si="308"/>
        <v>101.08956199944254</v>
      </c>
      <c r="Q613" s="1018">
        <f t="shared" si="308"/>
        <v>101.08956199944254</v>
      </c>
      <c r="R613" s="1018">
        <f t="shared" si="308"/>
        <v>100.86330744519837</v>
      </c>
      <c r="S613" s="1018">
        <f t="shared" si="308"/>
        <v>100.86330744519837</v>
      </c>
      <c r="T613" s="1018">
        <f t="shared" si="308"/>
        <v>100.41079833671007</v>
      </c>
      <c r="U613" s="1018">
        <f t="shared" si="308"/>
        <v>100.41079833671007</v>
      </c>
      <c r="V613" s="1018">
        <f t="shared" si="308"/>
        <v>102.32090252417665</v>
      </c>
      <c r="W613" s="1018">
        <f t="shared" si="308"/>
        <v>104.70085314542156</v>
      </c>
      <c r="X613" s="1018">
        <f t="shared" si="308"/>
        <v>99.654257975650225</v>
      </c>
      <c r="Y613" s="1018">
        <f t="shared" si="308"/>
        <v>99.654257975650225</v>
      </c>
      <c r="Z613" s="1018">
        <f t="shared" si="308"/>
        <v>96.603092151654906</v>
      </c>
      <c r="AA613" s="1018">
        <f t="shared" si="308"/>
        <v>96.483941472122197</v>
      </c>
      <c r="AB613" s="1018">
        <f t="shared" si="308"/>
        <v>96.483941472122197</v>
      </c>
      <c r="AC613" s="1018">
        <f t="shared" si="308"/>
        <v>96.483941472122197</v>
      </c>
      <c r="AD613" s="1018">
        <f t="shared" si="308"/>
        <v>96.483941472122197</v>
      </c>
      <c r="AE613" s="1018">
        <f t="shared" si="308"/>
        <v>96.483941472122197</v>
      </c>
      <c r="AF613" s="1018">
        <f t="shared" si="308"/>
        <v>96.84066062877848</v>
      </c>
    </row>
    <row r="614" spans="1:32" s="1010" customFormat="1" ht="14.25" customHeight="1" outlineLevel="3">
      <c r="A614" s="999"/>
      <c r="B614" s="999"/>
      <c r="C614" s="1957" t="s">
        <v>1786</v>
      </c>
      <c r="D614" s="1957"/>
      <c r="E614" s="1957"/>
      <c r="F614" s="998">
        <f>SUM(F615:F617)</f>
        <v>18066.403049</v>
      </c>
      <c r="G614" s="997">
        <v>3.6482541942908439E-3</v>
      </c>
      <c r="H614" s="996">
        <f t="shared" ref="H614:AF614" si="309">+SUMPRODUCT(H615:H617,$G615:$G617)/$G614</f>
        <v>100.00000000000001</v>
      </c>
      <c r="I614" s="996">
        <f t="shared" si="309"/>
        <v>102.09374777446719</v>
      </c>
      <c r="J614" s="996">
        <f t="shared" si="309"/>
        <v>103.27122787246915</v>
      </c>
      <c r="K614" s="996">
        <f t="shared" si="309"/>
        <v>103.27122787246915</v>
      </c>
      <c r="L614" s="996">
        <f t="shared" si="309"/>
        <v>101.17748009800199</v>
      </c>
      <c r="M614" s="996">
        <f t="shared" si="309"/>
        <v>101.17748009800199</v>
      </c>
      <c r="N614" s="996">
        <f t="shared" si="309"/>
        <v>101.17748009800199</v>
      </c>
      <c r="O614" s="996">
        <f t="shared" si="309"/>
        <v>102.22435398523557</v>
      </c>
      <c r="P614" s="996">
        <f t="shared" si="309"/>
        <v>102.22435398523557</v>
      </c>
      <c r="Q614" s="996">
        <f t="shared" si="309"/>
        <v>102.22435398523557</v>
      </c>
      <c r="R614" s="996">
        <f t="shared" si="309"/>
        <v>102.22435398523557</v>
      </c>
      <c r="S614" s="996">
        <f t="shared" si="309"/>
        <v>102.22435398523557</v>
      </c>
      <c r="T614" s="996">
        <f t="shared" si="309"/>
        <v>102.22435398523557</v>
      </c>
      <c r="U614" s="996">
        <f t="shared" si="309"/>
        <v>102.22435398523557</v>
      </c>
      <c r="V614" s="996">
        <f t="shared" si="309"/>
        <v>104.31810175970274</v>
      </c>
      <c r="W614" s="996">
        <f t="shared" si="309"/>
        <v>106.41184953416989</v>
      </c>
      <c r="X614" s="996">
        <f t="shared" si="309"/>
        <v>101.39507738992872</v>
      </c>
      <c r="Y614" s="996">
        <f t="shared" si="309"/>
        <v>101.39507738992872</v>
      </c>
      <c r="Z614" s="996">
        <f t="shared" si="309"/>
        <v>98.050562627101272</v>
      </c>
      <c r="AA614" s="996">
        <f t="shared" si="309"/>
        <v>97.919956416332852</v>
      </c>
      <c r="AB614" s="996">
        <f t="shared" si="309"/>
        <v>97.919956416332852</v>
      </c>
      <c r="AC614" s="996">
        <f t="shared" si="309"/>
        <v>97.919956416332852</v>
      </c>
      <c r="AD614" s="996">
        <f t="shared" si="309"/>
        <v>97.919956416332852</v>
      </c>
      <c r="AE614" s="996">
        <f t="shared" si="309"/>
        <v>97.919956416332852</v>
      </c>
      <c r="AF614" s="996">
        <f t="shared" si="309"/>
        <v>97.919956416332852</v>
      </c>
    </row>
    <row r="615" spans="1:32" s="1010" customFormat="1" outlineLevel="4">
      <c r="A615" s="999"/>
      <c r="B615" s="999"/>
      <c r="C615" s="999"/>
      <c r="D615" s="1017">
        <f>+D611+1</f>
        <v>182</v>
      </c>
      <c r="E615" s="1014" t="s">
        <v>1785</v>
      </c>
      <c r="F615" s="988">
        <f>SUM('[11]7'!$P$235:$P$236)</f>
        <v>6430.5034999999998</v>
      </c>
      <c r="G615" s="987">
        <v>1.2985490969977835E-3</v>
      </c>
      <c r="H615" s="986">
        <f>IF(H273=0,100,H273/H273*100)</f>
        <v>100</v>
      </c>
      <c r="I615" s="986">
        <f t="shared" ref="I615:AF615" si="310">IF(I273=0,100,I273/H273*H615)</f>
        <v>105.88235294117648</v>
      </c>
      <c r="J615" s="986">
        <f t="shared" si="310"/>
        <v>108.82352941176471</v>
      </c>
      <c r="K615" s="986">
        <f t="shared" si="310"/>
        <v>108.82352941176471</v>
      </c>
      <c r="L615" s="986">
        <f t="shared" si="310"/>
        <v>102.94117647058823</v>
      </c>
      <c r="M615" s="986">
        <f t="shared" si="310"/>
        <v>102.94117647058823</v>
      </c>
      <c r="N615" s="986">
        <f t="shared" si="310"/>
        <v>102.94117647058823</v>
      </c>
      <c r="O615" s="986">
        <f t="shared" si="310"/>
        <v>105.88235294117645</v>
      </c>
      <c r="P615" s="986">
        <f t="shared" si="310"/>
        <v>105.88235294117645</v>
      </c>
      <c r="Q615" s="986">
        <f t="shared" si="310"/>
        <v>105.88235294117645</v>
      </c>
      <c r="R615" s="986">
        <f t="shared" si="310"/>
        <v>105.88235294117645</v>
      </c>
      <c r="S615" s="986">
        <f t="shared" si="310"/>
        <v>105.88235294117645</v>
      </c>
      <c r="T615" s="986">
        <f t="shared" si="310"/>
        <v>105.88235294117645</v>
      </c>
      <c r="U615" s="986">
        <f t="shared" si="310"/>
        <v>105.88235294117645</v>
      </c>
      <c r="V615" s="986">
        <f t="shared" si="310"/>
        <v>111.76470588235293</v>
      </c>
      <c r="W615" s="986">
        <f t="shared" si="310"/>
        <v>117.64705882352939</v>
      </c>
      <c r="X615" s="986">
        <f t="shared" si="310"/>
        <v>117.64705882352939</v>
      </c>
      <c r="Y615" s="986">
        <f t="shared" si="310"/>
        <v>117.64705882352939</v>
      </c>
      <c r="Z615" s="986">
        <f t="shared" si="310"/>
        <v>117.64705882352939</v>
      </c>
      <c r="AA615" s="986">
        <f t="shared" si="310"/>
        <v>117.64705882352939</v>
      </c>
      <c r="AB615" s="986">
        <f t="shared" si="310"/>
        <v>117.64705882352939</v>
      </c>
      <c r="AC615" s="986">
        <f t="shared" si="310"/>
        <v>117.64705882352939</v>
      </c>
      <c r="AD615" s="986">
        <f t="shared" si="310"/>
        <v>117.64705882352939</v>
      </c>
      <c r="AE615" s="986">
        <f t="shared" si="310"/>
        <v>117.64705882352939</v>
      </c>
      <c r="AF615" s="986">
        <f t="shared" si="310"/>
        <v>117.64705882352939</v>
      </c>
    </row>
    <row r="616" spans="1:32" s="1010" customFormat="1" outlineLevel="4">
      <c r="A616" s="999"/>
      <c r="B616" s="999"/>
      <c r="C616" s="999"/>
      <c r="D616" s="1017">
        <f>+D615+1</f>
        <v>183</v>
      </c>
      <c r="E616" s="1014" t="s">
        <v>1784</v>
      </c>
      <c r="F616" s="988">
        <f>+'[11]7'!$P$239+'[13]7'!$P$240</f>
        <v>1061.8129999999999</v>
      </c>
      <c r="G616" s="987">
        <v>2.1441809530630182E-4</v>
      </c>
      <c r="H616" s="986">
        <f>IF(H274=0,100,H274/H274*100)</f>
        <v>100</v>
      </c>
      <c r="I616" s="986">
        <f t="shared" ref="I616:AF616" si="311">IF(I274=0,100,I274/H274*H616)</f>
        <v>100</v>
      </c>
      <c r="J616" s="986">
        <f t="shared" si="311"/>
        <v>102.22222222222221</v>
      </c>
      <c r="K616" s="986">
        <f t="shared" si="311"/>
        <v>102.22222222222221</v>
      </c>
      <c r="L616" s="986">
        <f t="shared" si="311"/>
        <v>102.22222222222221</v>
      </c>
      <c r="M616" s="986">
        <f t="shared" si="311"/>
        <v>102.22222222222221</v>
      </c>
      <c r="N616" s="986">
        <f t="shared" si="311"/>
        <v>102.22222222222221</v>
      </c>
      <c r="O616" s="986">
        <f t="shared" si="311"/>
        <v>102.22222222222221</v>
      </c>
      <c r="P616" s="986">
        <f t="shared" si="311"/>
        <v>102.22222222222221</v>
      </c>
      <c r="Q616" s="986">
        <f t="shared" si="311"/>
        <v>102.22222222222221</v>
      </c>
      <c r="R616" s="986">
        <f t="shared" si="311"/>
        <v>102.22222222222221</v>
      </c>
      <c r="S616" s="986">
        <f t="shared" si="311"/>
        <v>102.22222222222221</v>
      </c>
      <c r="T616" s="986">
        <f t="shared" si="311"/>
        <v>102.22222222222221</v>
      </c>
      <c r="U616" s="986">
        <f t="shared" si="311"/>
        <v>102.22222222222221</v>
      </c>
      <c r="V616" s="986">
        <f t="shared" si="311"/>
        <v>102.22222222222221</v>
      </c>
      <c r="W616" s="986">
        <f t="shared" si="311"/>
        <v>102.22222222222221</v>
      </c>
      <c r="X616" s="986">
        <f t="shared" si="311"/>
        <v>102.22222222222221</v>
      </c>
      <c r="Y616" s="986">
        <f t="shared" si="311"/>
        <v>102.22222222222221</v>
      </c>
      <c r="Z616" s="986">
        <f t="shared" si="311"/>
        <v>102.22222222222221</v>
      </c>
      <c r="AA616" s="986">
        <f t="shared" si="311"/>
        <v>100</v>
      </c>
      <c r="AB616" s="986">
        <f t="shared" si="311"/>
        <v>100</v>
      </c>
      <c r="AC616" s="986">
        <f t="shared" si="311"/>
        <v>100</v>
      </c>
      <c r="AD616" s="986">
        <f t="shared" si="311"/>
        <v>100</v>
      </c>
      <c r="AE616" s="986">
        <f t="shared" si="311"/>
        <v>100</v>
      </c>
      <c r="AF616" s="986">
        <f t="shared" si="311"/>
        <v>100</v>
      </c>
    </row>
    <row r="617" spans="1:32" outlineLevel="4">
      <c r="A617" s="999"/>
      <c r="B617" s="999"/>
      <c r="C617" s="999"/>
      <c r="D617" s="1017">
        <f>+D616+1</f>
        <v>184</v>
      </c>
      <c r="E617" s="1014" t="s">
        <v>1783</v>
      </c>
      <c r="F617" s="988">
        <f>+SUM('[13]7'!$P$237:$P$238,'[13]7'!$P$241:$P$244,)*0.9-500</f>
        <v>10574.086549</v>
      </c>
      <c r="G617" s="987">
        <v>2.1352870019867589E-3</v>
      </c>
      <c r="H617" s="986">
        <f>IF(H275=0,100,H275/H275*100)</f>
        <v>100</v>
      </c>
      <c r="I617" s="986">
        <f t="shared" ref="I617:AF617" si="312">IF(I275=0,100,I275/H275*H617)</f>
        <v>100</v>
      </c>
      <c r="J617" s="986">
        <f t="shared" si="312"/>
        <v>100</v>
      </c>
      <c r="K617" s="986">
        <f t="shared" si="312"/>
        <v>100</v>
      </c>
      <c r="L617" s="986">
        <f t="shared" si="312"/>
        <v>100</v>
      </c>
      <c r="M617" s="986">
        <f t="shared" si="312"/>
        <v>100</v>
      </c>
      <c r="N617" s="986">
        <f t="shared" si="312"/>
        <v>100</v>
      </c>
      <c r="O617" s="986">
        <f t="shared" si="312"/>
        <v>100</v>
      </c>
      <c r="P617" s="986">
        <f t="shared" si="312"/>
        <v>100</v>
      </c>
      <c r="Q617" s="986">
        <f t="shared" si="312"/>
        <v>100</v>
      </c>
      <c r="R617" s="986">
        <f t="shared" si="312"/>
        <v>100</v>
      </c>
      <c r="S617" s="986">
        <f t="shared" si="312"/>
        <v>100</v>
      </c>
      <c r="T617" s="986">
        <f t="shared" si="312"/>
        <v>100</v>
      </c>
      <c r="U617" s="986">
        <f t="shared" si="312"/>
        <v>100</v>
      </c>
      <c r="V617" s="986">
        <f t="shared" si="312"/>
        <v>100</v>
      </c>
      <c r="W617" s="986">
        <f t="shared" si="312"/>
        <v>100</v>
      </c>
      <c r="X617" s="986">
        <f t="shared" si="312"/>
        <v>91.428571428571431</v>
      </c>
      <c r="Y617" s="986">
        <f t="shared" si="312"/>
        <v>91.428571428571431</v>
      </c>
      <c r="Z617" s="986">
        <f t="shared" si="312"/>
        <v>85.714285714285722</v>
      </c>
      <c r="AA617" s="986">
        <f t="shared" si="312"/>
        <v>85.714285714285722</v>
      </c>
      <c r="AB617" s="986">
        <f t="shared" si="312"/>
        <v>85.714285714285722</v>
      </c>
      <c r="AC617" s="986">
        <f t="shared" si="312"/>
        <v>85.714285714285722</v>
      </c>
      <c r="AD617" s="986">
        <f t="shared" si="312"/>
        <v>85.714285714285722</v>
      </c>
      <c r="AE617" s="986">
        <f t="shared" si="312"/>
        <v>85.714285714285722</v>
      </c>
      <c r="AF617" s="986">
        <f t="shared" si="312"/>
        <v>85.714285714285722</v>
      </c>
    </row>
    <row r="618" spans="1:32" s="1010" customFormat="1" outlineLevel="3">
      <c r="A618" s="999"/>
      <c r="B618" s="999"/>
      <c r="C618" s="1956" t="s">
        <v>1782</v>
      </c>
      <c r="D618" s="1956"/>
      <c r="E618" s="1956"/>
      <c r="F618" s="998">
        <f>SUM(F619:F620)</f>
        <v>1736.9623510000001</v>
      </c>
      <c r="G618" s="997">
        <v>3.5075494359192828E-4</v>
      </c>
      <c r="H618" s="996">
        <f t="shared" ref="H618:AF618" si="313">+SUMPRODUCT(H619:H620,$G619:$G620)/$G618</f>
        <v>100</v>
      </c>
      <c r="I618" s="996">
        <f t="shared" si="313"/>
        <v>100</v>
      </c>
      <c r="J618" s="996">
        <f t="shared" si="313"/>
        <v>105.15912346462956</v>
      </c>
      <c r="K618" s="996">
        <f t="shared" si="313"/>
        <v>105.15912346462956</v>
      </c>
      <c r="L618" s="996">
        <f t="shared" si="313"/>
        <v>105.15912346462956</v>
      </c>
      <c r="M618" s="996">
        <f t="shared" si="313"/>
        <v>100</v>
      </c>
      <c r="N618" s="996">
        <f t="shared" si="313"/>
        <v>100</v>
      </c>
      <c r="O618" s="996">
        <f t="shared" si="313"/>
        <v>89.286422236333195</v>
      </c>
      <c r="P618" s="996">
        <f t="shared" si="313"/>
        <v>89.286422236333195</v>
      </c>
      <c r="Q618" s="996">
        <f t="shared" si="313"/>
        <v>89.286422236333195</v>
      </c>
      <c r="R618" s="996">
        <f t="shared" si="313"/>
        <v>86.706860504018437</v>
      </c>
      <c r="S618" s="996">
        <f t="shared" si="313"/>
        <v>86.706860504018437</v>
      </c>
      <c r="T618" s="996">
        <f t="shared" si="313"/>
        <v>81.547737039388878</v>
      </c>
      <c r="U618" s="996">
        <f t="shared" si="313"/>
        <v>81.547737039388878</v>
      </c>
      <c r="V618" s="996">
        <f t="shared" si="313"/>
        <v>81.547737039388878</v>
      </c>
      <c r="W618" s="996">
        <f t="shared" si="313"/>
        <v>86.904525921222273</v>
      </c>
      <c r="X618" s="996">
        <f t="shared" si="313"/>
        <v>81.547737039388878</v>
      </c>
      <c r="Y618" s="996">
        <f t="shared" si="313"/>
        <v>81.547737039388878</v>
      </c>
      <c r="Z618" s="996">
        <f t="shared" si="313"/>
        <v>81.547737039388878</v>
      </c>
      <c r="AA618" s="996">
        <f t="shared" si="313"/>
        <v>81.547737039388878</v>
      </c>
      <c r="AB618" s="996">
        <f t="shared" si="313"/>
        <v>81.547737039388878</v>
      </c>
      <c r="AC618" s="996">
        <f t="shared" si="313"/>
        <v>81.547737039388878</v>
      </c>
      <c r="AD618" s="996">
        <f t="shared" si="313"/>
        <v>81.547737039388878</v>
      </c>
      <c r="AE618" s="996">
        <f t="shared" si="313"/>
        <v>81.547737039388878</v>
      </c>
      <c r="AF618" s="996">
        <f t="shared" si="313"/>
        <v>85.614745055064887</v>
      </c>
    </row>
    <row r="619" spans="1:32" s="1010" customFormat="1" outlineLevel="4">
      <c r="A619" s="999"/>
      <c r="B619" s="999"/>
      <c r="C619" s="999"/>
      <c r="D619" s="1015">
        <f>+D617+1</f>
        <v>185</v>
      </c>
      <c r="E619" s="1026" t="s">
        <v>1781</v>
      </c>
      <c r="F619" s="988">
        <f>+'[11]7'!$P$245+300+500</f>
        <v>806.50828999999999</v>
      </c>
      <c r="G619" s="987">
        <v>1.6286292538379406E-4</v>
      </c>
      <c r="H619" s="986">
        <f>IF(H277=0,100,H277/H277*100)</f>
        <v>100</v>
      </c>
      <c r="I619" s="986">
        <f t="shared" ref="I619:AF619" si="314">IF(I277=0,100,I277/H277*H619)</f>
        <v>100</v>
      </c>
      <c r="J619" s="986">
        <f t="shared" si="314"/>
        <v>111.11111111111111</v>
      </c>
      <c r="K619" s="986">
        <f t="shared" si="314"/>
        <v>111.11111111111111</v>
      </c>
      <c r="L619" s="986">
        <f t="shared" si="314"/>
        <v>111.11111111111111</v>
      </c>
      <c r="M619" s="986">
        <f t="shared" si="314"/>
        <v>100</v>
      </c>
      <c r="N619" s="986">
        <f t="shared" si="314"/>
        <v>100</v>
      </c>
      <c r="O619" s="986">
        <f t="shared" si="314"/>
        <v>100</v>
      </c>
      <c r="P619" s="986">
        <f t="shared" si="314"/>
        <v>100</v>
      </c>
      <c r="Q619" s="986">
        <f t="shared" si="314"/>
        <v>100</v>
      </c>
      <c r="R619" s="986">
        <f t="shared" si="314"/>
        <v>94.444444444444443</v>
      </c>
      <c r="S619" s="986">
        <f t="shared" si="314"/>
        <v>94.444444444444443</v>
      </c>
      <c r="T619" s="986">
        <f t="shared" si="314"/>
        <v>83.333333333333329</v>
      </c>
      <c r="U619" s="986">
        <f t="shared" si="314"/>
        <v>83.333333333333329</v>
      </c>
      <c r="V619" s="986">
        <f t="shared" si="314"/>
        <v>83.333333333333329</v>
      </c>
      <c r="W619" s="986">
        <f t="shared" si="314"/>
        <v>83.333333333333329</v>
      </c>
      <c r="X619" s="986">
        <f t="shared" si="314"/>
        <v>83.333333333333329</v>
      </c>
      <c r="Y619" s="986">
        <f t="shared" si="314"/>
        <v>83.333333333333329</v>
      </c>
      <c r="Z619" s="986">
        <f t="shared" si="314"/>
        <v>83.333333333333329</v>
      </c>
      <c r="AA619" s="986">
        <f t="shared" si="314"/>
        <v>83.333333333333329</v>
      </c>
      <c r="AB619" s="986">
        <f t="shared" si="314"/>
        <v>83.333333333333329</v>
      </c>
      <c r="AC619" s="986">
        <f t="shared" si="314"/>
        <v>83.333333333333329</v>
      </c>
      <c r="AD619" s="986">
        <f t="shared" si="314"/>
        <v>83.333333333333329</v>
      </c>
      <c r="AE619" s="986">
        <f t="shared" si="314"/>
        <v>83.333333333333329</v>
      </c>
      <c r="AF619" s="986">
        <f t="shared" si="314"/>
        <v>80.555555555555557</v>
      </c>
    </row>
    <row r="620" spans="1:32" outlineLevel="4">
      <c r="A620" s="999"/>
      <c r="B620" s="999"/>
      <c r="C620" s="999"/>
      <c r="D620" s="1015">
        <f>+D619+1</f>
        <v>186</v>
      </c>
      <c r="E620" s="1014" t="s">
        <v>1780</v>
      </c>
      <c r="F620" s="988">
        <f>+SUM('[13]7'!$P$237:$P$238,'[13]7'!$P$241:$P$244,)*0.1-300</f>
        <v>930.45406100000014</v>
      </c>
      <c r="G620" s="987">
        <v>1.8789201820813422E-4</v>
      </c>
      <c r="H620" s="986">
        <f>IF(H278=0,100,H278/H278*100)</f>
        <v>100</v>
      </c>
      <c r="I620" s="986">
        <f t="shared" ref="I620:AF620" si="315">IF(I278=0,100,I278/H278*H620)</f>
        <v>100</v>
      </c>
      <c r="J620" s="986">
        <f t="shared" si="315"/>
        <v>100</v>
      </c>
      <c r="K620" s="986">
        <f t="shared" si="315"/>
        <v>100</v>
      </c>
      <c r="L620" s="986">
        <f t="shared" si="315"/>
        <v>100</v>
      </c>
      <c r="M620" s="986">
        <f t="shared" si="315"/>
        <v>100</v>
      </c>
      <c r="N620" s="986">
        <f t="shared" si="315"/>
        <v>100</v>
      </c>
      <c r="O620" s="986">
        <f t="shared" si="315"/>
        <v>80</v>
      </c>
      <c r="P620" s="986">
        <f t="shared" si="315"/>
        <v>80</v>
      </c>
      <c r="Q620" s="986">
        <f t="shared" si="315"/>
        <v>80</v>
      </c>
      <c r="R620" s="986">
        <f t="shared" si="315"/>
        <v>80</v>
      </c>
      <c r="S620" s="986">
        <f t="shared" si="315"/>
        <v>80</v>
      </c>
      <c r="T620" s="986">
        <f t="shared" si="315"/>
        <v>80</v>
      </c>
      <c r="U620" s="986">
        <f t="shared" si="315"/>
        <v>80</v>
      </c>
      <c r="V620" s="986">
        <f t="shared" si="315"/>
        <v>80</v>
      </c>
      <c r="W620" s="986">
        <f t="shared" si="315"/>
        <v>90</v>
      </c>
      <c r="X620" s="986">
        <f t="shared" si="315"/>
        <v>80</v>
      </c>
      <c r="Y620" s="986">
        <f t="shared" si="315"/>
        <v>80</v>
      </c>
      <c r="Z620" s="986">
        <f t="shared" si="315"/>
        <v>80</v>
      </c>
      <c r="AA620" s="986">
        <f t="shared" si="315"/>
        <v>80</v>
      </c>
      <c r="AB620" s="986">
        <f t="shared" si="315"/>
        <v>80</v>
      </c>
      <c r="AC620" s="986">
        <f t="shared" si="315"/>
        <v>80</v>
      </c>
      <c r="AD620" s="986">
        <f t="shared" si="315"/>
        <v>80</v>
      </c>
      <c r="AE620" s="986">
        <f t="shared" si="315"/>
        <v>80</v>
      </c>
      <c r="AF620" s="986">
        <f t="shared" si="315"/>
        <v>90</v>
      </c>
    </row>
    <row r="621" spans="1:32" outlineLevel="2">
      <c r="A621" s="999"/>
      <c r="B621" s="1955" t="s">
        <v>1779</v>
      </c>
      <c r="C621" s="1955"/>
      <c r="D621" s="1955"/>
      <c r="E621" s="1955"/>
      <c r="F621" s="1020">
        <f>+F622+F626</f>
        <v>18565.740228000002</v>
      </c>
      <c r="G621" s="1019">
        <v>3.7490882647314983E-3</v>
      </c>
      <c r="H621" s="1018">
        <f t="shared" ref="H621:AF621" si="316">+($G$622*H622+$G$626*H626)/$G$621</f>
        <v>100</v>
      </c>
      <c r="I621" s="1018">
        <f t="shared" si="316"/>
        <v>100</v>
      </c>
      <c r="J621" s="1018">
        <f t="shared" si="316"/>
        <v>93.39801213625671</v>
      </c>
      <c r="K621" s="1018">
        <f t="shared" si="316"/>
        <v>93.39801213625671</v>
      </c>
      <c r="L621" s="1018">
        <f t="shared" si="316"/>
        <v>93.39801213625671</v>
      </c>
      <c r="M621" s="1018">
        <f t="shared" si="316"/>
        <v>93.39801213625671</v>
      </c>
      <c r="N621" s="1018">
        <f t="shared" si="316"/>
        <v>100</v>
      </c>
      <c r="O621" s="1018">
        <f t="shared" si="316"/>
        <v>100</v>
      </c>
      <c r="P621" s="1018">
        <f t="shared" si="316"/>
        <v>100</v>
      </c>
      <c r="Q621" s="1018">
        <f t="shared" si="316"/>
        <v>100</v>
      </c>
      <c r="R621" s="1018">
        <f t="shared" si="316"/>
        <v>100</v>
      </c>
      <c r="S621" s="1018">
        <f t="shared" si="316"/>
        <v>107.57317524097159</v>
      </c>
      <c r="T621" s="1018">
        <f t="shared" si="316"/>
        <v>107.57317524097159</v>
      </c>
      <c r="U621" s="1018">
        <f t="shared" si="316"/>
        <v>107.57317524097159</v>
      </c>
      <c r="V621" s="1018">
        <f t="shared" si="316"/>
        <v>107.57317524097159</v>
      </c>
      <c r="W621" s="1018">
        <f t="shared" si="316"/>
        <v>107.57317524097159</v>
      </c>
      <c r="X621" s="1018">
        <f t="shared" si="316"/>
        <v>115.1463504819432</v>
      </c>
      <c r="Y621" s="1018">
        <f t="shared" si="316"/>
        <v>115.1463504819432</v>
      </c>
      <c r="Z621" s="1018">
        <f t="shared" si="316"/>
        <v>115.1463504819432</v>
      </c>
      <c r="AA621" s="1018">
        <f t="shared" si="316"/>
        <v>115.1463504819432</v>
      </c>
      <c r="AB621" s="1018">
        <f t="shared" si="316"/>
        <v>115.1463504819432</v>
      </c>
      <c r="AC621" s="1018">
        <f t="shared" si="316"/>
        <v>113.22951211049006</v>
      </c>
      <c r="AD621" s="1018">
        <f t="shared" si="316"/>
        <v>109.44292449000426</v>
      </c>
      <c r="AE621" s="1018">
        <f t="shared" si="316"/>
        <v>110.10312327637858</v>
      </c>
      <c r="AF621" s="1018">
        <f t="shared" si="316"/>
        <v>108.2098294661357</v>
      </c>
    </row>
    <row r="622" spans="1:32" s="1010" customFormat="1" outlineLevel="3">
      <c r="A622" s="999"/>
      <c r="B622" s="999"/>
      <c r="C622" s="1956" t="s">
        <v>1778</v>
      </c>
      <c r="D622" s="1956"/>
      <c r="E622" s="1956"/>
      <c r="F622" s="998">
        <f>SUM(F623:F625)</f>
        <v>7317.6118900000001</v>
      </c>
      <c r="G622" s="997">
        <v>1.4776880709169576E-3</v>
      </c>
      <c r="H622" s="996">
        <f t="shared" ref="H622:AF622" si="317">+SUMPRODUCT(H623:H625,$G623:$G625)/$G622</f>
        <v>100</v>
      </c>
      <c r="I622" s="996">
        <f t="shared" si="317"/>
        <v>100</v>
      </c>
      <c r="J622" s="996">
        <f t="shared" si="317"/>
        <v>83.249891698387586</v>
      </c>
      <c r="K622" s="996">
        <f t="shared" si="317"/>
        <v>83.249891698387586</v>
      </c>
      <c r="L622" s="996">
        <f t="shared" si="317"/>
        <v>83.249891698387586</v>
      </c>
      <c r="M622" s="996">
        <f t="shared" si="317"/>
        <v>83.249891698387586</v>
      </c>
      <c r="N622" s="996">
        <f t="shared" si="317"/>
        <v>100</v>
      </c>
      <c r="O622" s="996">
        <f t="shared" si="317"/>
        <v>100</v>
      </c>
      <c r="P622" s="996">
        <f t="shared" si="317"/>
        <v>100</v>
      </c>
      <c r="Q622" s="996">
        <f t="shared" si="317"/>
        <v>100</v>
      </c>
      <c r="R622" s="996">
        <f t="shared" si="317"/>
        <v>100</v>
      </c>
      <c r="S622" s="996">
        <f t="shared" si="317"/>
        <v>100</v>
      </c>
      <c r="T622" s="996">
        <f t="shared" si="317"/>
        <v>100</v>
      </c>
      <c r="U622" s="996">
        <f t="shared" si="317"/>
        <v>100</v>
      </c>
      <c r="V622" s="996">
        <f t="shared" si="317"/>
        <v>100</v>
      </c>
      <c r="W622" s="996">
        <f t="shared" si="317"/>
        <v>100</v>
      </c>
      <c r="X622" s="996">
        <f t="shared" si="317"/>
        <v>100</v>
      </c>
      <c r="Y622" s="996">
        <f t="shared" si="317"/>
        <v>100</v>
      </c>
      <c r="Z622" s="996">
        <f t="shared" si="317"/>
        <v>100</v>
      </c>
      <c r="AA622" s="996">
        <f t="shared" si="317"/>
        <v>100</v>
      </c>
      <c r="AB622" s="996">
        <f t="shared" si="317"/>
        <v>100</v>
      </c>
      <c r="AC622" s="996">
        <f t="shared" si="317"/>
        <v>114.35086781591234</v>
      </c>
      <c r="AD622" s="996">
        <f t="shared" si="317"/>
        <v>114.35086781591234</v>
      </c>
      <c r="AE622" s="996">
        <f t="shared" si="317"/>
        <v>116.02587864607358</v>
      </c>
      <c r="AF622" s="996">
        <f t="shared" si="317"/>
        <v>116.02587864607358</v>
      </c>
    </row>
    <row r="623" spans="1:32" s="1010" customFormat="1" outlineLevel="4">
      <c r="A623" s="999"/>
      <c r="B623" s="999"/>
      <c r="C623" s="999"/>
      <c r="D623" s="1015">
        <f>+D620+1</f>
        <v>187</v>
      </c>
      <c r="E623" s="1014" t="s">
        <v>1777</v>
      </c>
      <c r="F623" s="988">
        <f>+'[13]7'!$P$275*0.4</f>
        <v>1456.195256</v>
      </c>
      <c r="G623" s="987">
        <v>2.9405800568046595E-4</v>
      </c>
      <c r="H623" s="986">
        <f>IF(H281=0,100,H281/H281*100)</f>
        <v>100</v>
      </c>
      <c r="I623" s="986">
        <f t="shared" ref="I623:AF623" si="318">IF(I281=0,100,I281/H281*H623)</f>
        <v>100</v>
      </c>
      <c r="J623" s="986">
        <f t="shared" si="318"/>
        <v>100</v>
      </c>
      <c r="K623" s="986">
        <f t="shared" si="318"/>
        <v>100</v>
      </c>
      <c r="L623" s="986">
        <f t="shared" si="318"/>
        <v>100</v>
      </c>
      <c r="M623" s="986">
        <f t="shared" si="318"/>
        <v>100</v>
      </c>
      <c r="N623" s="986">
        <f t="shared" si="318"/>
        <v>100</v>
      </c>
      <c r="O623" s="986">
        <f t="shared" si="318"/>
        <v>100</v>
      </c>
      <c r="P623" s="986">
        <f t="shared" si="318"/>
        <v>100</v>
      </c>
      <c r="Q623" s="986">
        <f t="shared" si="318"/>
        <v>100</v>
      </c>
      <c r="R623" s="986">
        <f t="shared" si="318"/>
        <v>100</v>
      </c>
      <c r="S623" s="986">
        <f t="shared" si="318"/>
        <v>100</v>
      </c>
      <c r="T623" s="986">
        <f t="shared" si="318"/>
        <v>100</v>
      </c>
      <c r="U623" s="986">
        <f t="shared" si="318"/>
        <v>100</v>
      </c>
      <c r="V623" s="986">
        <f t="shared" si="318"/>
        <v>100</v>
      </c>
      <c r="W623" s="986">
        <f t="shared" si="318"/>
        <v>100</v>
      </c>
      <c r="X623" s="986">
        <f t="shared" si="318"/>
        <v>100</v>
      </c>
      <c r="Y623" s="986">
        <f t="shared" si="318"/>
        <v>100</v>
      </c>
      <c r="Z623" s="986">
        <f t="shared" si="318"/>
        <v>100</v>
      </c>
      <c r="AA623" s="986">
        <f t="shared" si="318"/>
        <v>100</v>
      </c>
      <c r="AB623" s="986">
        <f t="shared" si="318"/>
        <v>100</v>
      </c>
      <c r="AC623" s="986">
        <f t="shared" si="318"/>
        <v>100</v>
      </c>
      <c r="AD623" s="986">
        <f t="shared" si="318"/>
        <v>100</v>
      </c>
      <c r="AE623" s="986">
        <f t="shared" si="318"/>
        <v>100</v>
      </c>
      <c r="AF623" s="986">
        <f t="shared" si="318"/>
        <v>100</v>
      </c>
    </row>
    <row r="624" spans="1:32" s="1010" customFormat="1" outlineLevel="4">
      <c r="A624" s="999"/>
      <c r="B624" s="999"/>
      <c r="C624" s="999"/>
      <c r="D624" s="1017">
        <f>+D623+1</f>
        <v>188</v>
      </c>
      <c r="E624" s="1014" t="s">
        <v>1776</v>
      </c>
      <c r="F624" s="988">
        <f>+'[13]7'!$P$275*0.6</f>
        <v>2184.292884</v>
      </c>
      <c r="G624" s="987">
        <v>4.4108700852069896E-4</v>
      </c>
      <c r="H624" s="986">
        <f>IF(H282=0,100,H282/H282*100)</f>
        <v>100</v>
      </c>
      <c r="I624" s="986">
        <f t="shared" ref="I624:AF624" si="319">IF(I282=0,100,I282/H282*H624)</f>
        <v>100</v>
      </c>
      <c r="J624" s="986">
        <f t="shared" si="319"/>
        <v>100</v>
      </c>
      <c r="K624" s="986">
        <f t="shared" si="319"/>
        <v>100</v>
      </c>
      <c r="L624" s="986">
        <f t="shared" si="319"/>
        <v>100</v>
      </c>
      <c r="M624" s="986">
        <f t="shared" si="319"/>
        <v>100</v>
      </c>
      <c r="N624" s="986">
        <f t="shared" si="319"/>
        <v>100</v>
      </c>
      <c r="O624" s="986">
        <f t="shared" si="319"/>
        <v>100</v>
      </c>
      <c r="P624" s="986">
        <f t="shared" si="319"/>
        <v>100</v>
      </c>
      <c r="Q624" s="986">
        <f t="shared" si="319"/>
        <v>100</v>
      </c>
      <c r="R624" s="986">
        <f t="shared" si="319"/>
        <v>100</v>
      </c>
      <c r="S624" s="986">
        <f t="shared" si="319"/>
        <v>100</v>
      </c>
      <c r="T624" s="986">
        <f t="shared" si="319"/>
        <v>100</v>
      </c>
      <c r="U624" s="986">
        <f t="shared" si="319"/>
        <v>100</v>
      </c>
      <c r="V624" s="986">
        <f t="shared" si="319"/>
        <v>100</v>
      </c>
      <c r="W624" s="986">
        <f t="shared" si="319"/>
        <v>100</v>
      </c>
      <c r="X624" s="986">
        <f t="shared" si="319"/>
        <v>100</v>
      </c>
      <c r="Y624" s="986">
        <f t="shared" si="319"/>
        <v>100</v>
      </c>
      <c r="Z624" s="986">
        <f t="shared" si="319"/>
        <v>100</v>
      </c>
      <c r="AA624" s="986">
        <f t="shared" si="319"/>
        <v>100</v>
      </c>
      <c r="AB624" s="986">
        <f t="shared" si="319"/>
        <v>100</v>
      </c>
      <c r="AC624" s="986">
        <f t="shared" si="319"/>
        <v>148.07692307692309</v>
      </c>
      <c r="AD624" s="986">
        <f t="shared" si="319"/>
        <v>148.07692307692309</v>
      </c>
      <c r="AE624" s="986">
        <f t="shared" si="319"/>
        <v>148.07692307692309</v>
      </c>
      <c r="AF624" s="986">
        <f t="shared" si="319"/>
        <v>148.07692307692309</v>
      </c>
    </row>
    <row r="625" spans="1:32" outlineLevel="4">
      <c r="A625" s="999"/>
      <c r="B625" s="999"/>
      <c r="C625" s="999"/>
      <c r="D625" s="1017">
        <f>+D624+1</f>
        <v>189</v>
      </c>
      <c r="E625" s="1014" t="s">
        <v>1775</v>
      </c>
      <c r="F625" s="988">
        <f>+SUM('[13]7'!$P$276,'[13]7'!$P$246:$P$249)</f>
        <v>3677.1237499999997</v>
      </c>
      <c r="G625" s="987">
        <v>7.4254305671579268E-4</v>
      </c>
      <c r="H625" s="986">
        <f>IF(H283=0,100,H283/H283*100)</f>
        <v>100</v>
      </c>
      <c r="I625" s="986">
        <f t="shared" ref="I625:AF625" si="320">IF(I283=0,100,I283/H283*H625)</f>
        <v>100</v>
      </c>
      <c r="J625" s="986">
        <f t="shared" si="320"/>
        <v>66.666666666666657</v>
      </c>
      <c r="K625" s="986">
        <f t="shared" si="320"/>
        <v>66.666666666666657</v>
      </c>
      <c r="L625" s="986">
        <f t="shared" si="320"/>
        <v>66.666666666666657</v>
      </c>
      <c r="M625" s="986">
        <f t="shared" si="320"/>
        <v>66.666666666666657</v>
      </c>
      <c r="N625" s="986">
        <f t="shared" si="320"/>
        <v>99.999999999999986</v>
      </c>
      <c r="O625" s="986">
        <f t="shared" si="320"/>
        <v>99.999999999999986</v>
      </c>
      <c r="P625" s="986">
        <f t="shared" si="320"/>
        <v>99.999999999999986</v>
      </c>
      <c r="Q625" s="986">
        <f t="shared" si="320"/>
        <v>99.999999999999986</v>
      </c>
      <c r="R625" s="986">
        <f t="shared" si="320"/>
        <v>99.999999999999986</v>
      </c>
      <c r="S625" s="986">
        <f t="shared" si="320"/>
        <v>99.999999999999986</v>
      </c>
      <c r="T625" s="986">
        <f t="shared" si="320"/>
        <v>99.999999999999986</v>
      </c>
      <c r="U625" s="986">
        <f t="shared" si="320"/>
        <v>99.999999999999986</v>
      </c>
      <c r="V625" s="986">
        <f t="shared" si="320"/>
        <v>99.999999999999986</v>
      </c>
      <c r="W625" s="986">
        <f t="shared" si="320"/>
        <v>99.999999999999986</v>
      </c>
      <c r="X625" s="986">
        <f t="shared" si="320"/>
        <v>99.999999999999986</v>
      </c>
      <c r="Y625" s="986">
        <f t="shared" si="320"/>
        <v>99.999999999999986</v>
      </c>
      <c r="Z625" s="986">
        <f t="shared" si="320"/>
        <v>99.999999999999986</v>
      </c>
      <c r="AA625" s="986">
        <f t="shared" si="320"/>
        <v>99.999999999999986</v>
      </c>
      <c r="AB625" s="986">
        <f t="shared" si="320"/>
        <v>99.999999999999986</v>
      </c>
      <c r="AC625" s="986">
        <f t="shared" si="320"/>
        <v>99.999999999999986</v>
      </c>
      <c r="AD625" s="986">
        <f t="shared" si="320"/>
        <v>99.999999999999986</v>
      </c>
      <c r="AE625" s="986">
        <f t="shared" si="320"/>
        <v>103.33333333333333</v>
      </c>
      <c r="AF625" s="986">
        <f t="shared" si="320"/>
        <v>103.33333333333333</v>
      </c>
    </row>
    <row r="626" spans="1:32" s="1010" customFormat="1" outlineLevel="3">
      <c r="A626" s="999"/>
      <c r="B626" s="999"/>
      <c r="C626" s="1956" t="s">
        <v>1774</v>
      </c>
      <c r="D626" s="1956"/>
      <c r="E626" s="1956"/>
      <c r="F626" s="998">
        <f>SUM(F627)</f>
        <v>11248.128338000002</v>
      </c>
      <c r="G626" s="997">
        <v>2.2714001938145406E-3</v>
      </c>
      <c r="H626" s="996">
        <f t="shared" ref="H626:AF626" si="321">+SUMPRODUCT(H627,$G627)/$G626</f>
        <v>100</v>
      </c>
      <c r="I626" s="996">
        <f t="shared" si="321"/>
        <v>100</v>
      </c>
      <c r="J626" s="996">
        <f t="shared" si="321"/>
        <v>100</v>
      </c>
      <c r="K626" s="996">
        <f t="shared" si="321"/>
        <v>100</v>
      </c>
      <c r="L626" s="996">
        <f t="shared" si="321"/>
        <v>100</v>
      </c>
      <c r="M626" s="996">
        <f t="shared" si="321"/>
        <v>100</v>
      </c>
      <c r="N626" s="996">
        <f t="shared" si="321"/>
        <v>100</v>
      </c>
      <c r="O626" s="996">
        <f t="shared" si="321"/>
        <v>100</v>
      </c>
      <c r="P626" s="996">
        <f t="shared" si="321"/>
        <v>100</v>
      </c>
      <c r="Q626" s="996">
        <f t="shared" si="321"/>
        <v>100</v>
      </c>
      <c r="R626" s="996">
        <f t="shared" si="321"/>
        <v>100</v>
      </c>
      <c r="S626" s="996">
        <f t="shared" si="321"/>
        <v>112.5</v>
      </c>
      <c r="T626" s="996">
        <f t="shared" si="321"/>
        <v>112.5</v>
      </c>
      <c r="U626" s="996">
        <f t="shared" si="321"/>
        <v>112.5</v>
      </c>
      <c r="V626" s="996">
        <f t="shared" si="321"/>
        <v>112.5</v>
      </c>
      <c r="W626" s="996">
        <f t="shared" si="321"/>
        <v>112.5</v>
      </c>
      <c r="X626" s="996">
        <f t="shared" si="321"/>
        <v>125</v>
      </c>
      <c r="Y626" s="996">
        <f t="shared" si="321"/>
        <v>125</v>
      </c>
      <c r="Z626" s="996">
        <f t="shared" si="321"/>
        <v>125</v>
      </c>
      <c r="AA626" s="996">
        <f t="shared" si="321"/>
        <v>125</v>
      </c>
      <c r="AB626" s="996">
        <f t="shared" si="321"/>
        <v>125</v>
      </c>
      <c r="AC626" s="996">
        <f t="shared" si="321"/>
        <v>112.5</v>
      </c>
      <c r="AD626" s="996">
        <f t="shared" si="321"/>
        <v>106.25</v>
      </c>
      <c r="AE626" s="996">
        <f t="shared" si="321"/>
        <v>106.25</v>
      </c>
      <c r="AF626" s="996">
        <f t="shared" si="321"/>
        <v>103.125</v>
      </c>
    </row>
    <row r="627" spans="1:32" outlineLevel="4">
      <c r="A627" s="999"/>
      <c r="B627" s="999"/>
      <c r="C627" s="999"/>
      <c r="D627" s="1015">
        <f>+D625+1</f>
        <v>190</v>
      </c>
      <c r="E627" s="1014" t="s">
        <v>1773</v>
      </c>
      <c r="F627" s="988">
        <f>+SUM('[13]7'!$P$250:$P$261)+SUM('[13]7'!$P$271:$P$273)+'[13]7'!$P$263+'[13]7'!$P$277+'[13]7'!$P$274+SUM('[13]7'!$P$264:$P$265)</f>
        <v>11248.128338000002</v>
      </c>
      <c r="G627" s="987">
        <v>2.2714001938145406E-3</v>
      </c>
      <c r="H627" s="986">
        <f>IF(H285=0,100,H285/H285*100)</f>
        <v>100</v>
      </c>
      <c r="I627" s="986">
        <f t="shared" ref="I627:AF627" si="322">IF(I285=0,100,I285/H285*H627)</f>
        <v>100</v>
      </c>
      <c r="J627" s="986">
        <f t="shared" si="322"/>
        <v>100</v>
      </c>
      <c r="K627" s="986">
        <f t="shared" si="322"/>
        <v>100</v>
      </c>
      <c r="L627" s="986">
        <f t="shared" si="322"/>
        <v>100</v>
      </c>
      <c r="M627" s="986">
        <f t="shared" si="322"/>
        <v>100</v>
      </c>
      <c r="N627" s="986">
        <f t="shared" si="322"/>
        <v>100</v>
      </c>
      <c r="O627" s="986">
        <f t="shared" si="322"/>
        <v>100</v>
      </c>
      <c r="P627" s="986">
        <f t="shared" si="322"/>
        <v>100</v>
      </c>
      <c r="Q627" s="986">
        <f t="shared" si="322"/>
        <v>100</v>
      </c>
      <c r="R627" s="986">
        <f t="shared" si="322"/>
        <v>100</v>
      </c>
      <c r="S627" s="986">
        <f t="shared" si="322"/>
        <v>112.5</v>
      </c>
      <c r="T627" s="986">
        <f t="shared" si="322"/>
        <v>112.5</v>
      </c>
      <c r="U627" s="986">
        <f t="shared" si="322"/>
        <v>112.5</v>
      </c>
      <c r="V627" s="986">
        <f t="shared" si="322"/>
        <v>112.5</v>
      </c>
      <c r="W627" s="986">
        <f t="shared" si="322"/>
        <v>112.5</v>
      </c>
      <c r="X627" s="986">
        <f t="shared" si="322"/>
        <v>125</v>
      </c>
      <c r="Y627" s="986">
        <f t="shared" si="322"/>
        <v>125</v>
      </c>
      <c r="Z627" s="986">
        <f t="shared" si="322"/>
        <v>125</v>
      </c>
      <c r="AA627" s="986">
        <f t="shared" si="322"/>
        <v>125</v>
      </c>
      <c r="AB627" s="986">
        <f t="shared" si="322"/>
        <v>125</v>
      </c>
      <c r="AC627" s="986">
        <f t="shared" si="322"/>
        <v>112.5</v>
      </c>
      <c r="AD627" s="986">
        <f t="shared" si="322"/>
        <v>106.25</v>
      </c>
      <c r="AE627" s="986">
        <f t="shared" si="322"/>
        <v>106.25</v>
      </c>
      <c r="AF627" s="986">
        <f t="shared" si="322"/>
        <v>103.125</v>
      </c>
    </row>
    <row r="628" spans="1:32" outlineLevel="2">
      <c r="A628" s="999"/>
      <c r="B628" s="1955" t="s">
        <v>1772</v>
      </c>
      <c r="C628" s="1955"/>
      <c r="D628" s="1955"/>
      <c r="E628" s="1955"/>
      <c r="F628" s="1020">
        <f>+F629+F632+F634+F636</f>
        <v>63199.511230999997</v>
      </c>
      <c r="G628" s="1019">
        <v>1.2762246104012902E-2</v>
      </c>
      <c r="H628" s="1018">
        <f t="shared" ref="H628:AF628" si="323">+($G$629*H629+$G$632*H632+$G$634*H634+$G$636*H636)/$G$628</f>
        <v>99.999999999999986</v>
      </c>
      <c r="I628" s="1018">
        <f t="shared" si="323"/>
        <v>101.96224460576475</v>
      </c>
      <c r="J628" s="1018">
        <f t="shared" si="323"/>
        <v>99.999999999999986</v>
      </c>
      <c r="K628" s="1018">
        <f t="shared" si="323"/>
        <v>99.999999999999986</v>
      </c>
      <c r="L628" s="1018">
        <f t="shared" si="323"/>
        <v>99.999999999999986</v>
      </c>
      <c r="M628" s="1018">
        <f t="shared" si="323"/>
        <v>99.999999999999986</v>
      </c>
      <c r="N628" s="1018">
        <f t="shared" si="323"/>
        <v>99.999999999999986</v>
      </c>
      <c r="O628" s="1018">
        <f t="shared" si="323"/>
        <v>99.999999999999986</v>
      </c>
      <c r="P628" s="1018">
        <f t="shared" si="323"/>
        <v>99.999999999999986</v>
      </c>
      <c r="Q628" s="1018">
        <f t="shared" si="323"/>
        <v>101.68498564240501</v>
      </c>
      <c r="R628" s="1018">
        <f t="shared" si="323"/>
        <v>101.68498564240501</v>
      </c>
      <c r="S628" s="1018">
        <f t="shared" si="323"/>
        <v>101.68498564240501</v>
      </c>
      <c r="T628" s="1018">
        <f t="shared" si="323"/>
        <v>101.68498564240501</v>
      </c>
      <c r="U628" s="1018">
        <f t="shared" si="323"/>
        <v>101.68498564240501</v>
      </c>
      <c r="V628" s="1018">
        <f t="shared" si="323"/>
        <v>101.68498564240501</v>
      </c>
      <c r="W628" s="1018">
        <f t="shared" si="323"/>
        <v>101.68498564240501</v>
      </c>
      <c r="X628" s="1018">
        <f t="shared" si="323"/>
        <v>101.68498564240501</v>
      </c>
      <c r="Y628" s="1018">
        <f t="shared" si="323"/>
        <v>101.68498564240501</v>
      </c>
      <c r="Z628" s="1018">
        <f t="shared" si="323"/>
        <v>101.68498564240501</v>
      </c>
      <c r="AA628" s="1018">
        <f t="shared" si="323"/>
        <v>107.52091604019955</v>
      </c>
      <c r="AB628" s="1018">
        <f t="shared" si="323"/>
        <v>107.52091604019955</v>
      </c>
      <c r="AC628" s="1018">
        <f t="shared" si="323"/>
        <v>107.52091604019955</v>
      </c>
      <c r="AD628" s="1018">
        <f t="shared" si="323"/>
        <v>107.52091604019955</v>
      </c>
      <c r="AE628" s="1018">
        <f t="shared" si="323"/>
        <v>107.52091604019955</v>
      </c>
      <c r="AF628" s="1018">
        <f t="shared" si="323"/>
        <v>108.64423980180291</v>
      </c>
    </row>
    <row r="629" spans="1:32" s="1010" customFormat="1" outlineLevel="3">
      <c r="A629" s="999"/>
      <c r="B629" s="999"/>
      <c r="C629" s="1027" t="s">
        <v>1771</v>
      </c>
      <c r="D629" s="1027"/>
      <c r="E629" s="1024"/>
      <c r="F629" s="998">
        <f>SUM(F630:F631)</f>
        <v>39741.562030000001</v>
      </c>
      <c r="G629" s="997">
        <v>8.0252455328479189E-3</v>
      </c>
      <c r="H629" s="996">
        <f t="shared" ref="H629:AF629" si="324">+SUMPRODUCT(H630:H631,$G630:$G631)/$G629</f>
        <v>99.999999999999986</v>
      </c>
      <c r="I629" s="996">
        <f t="shared" si="324"/>
        <v>99.999999999999986</v>
      </c>
      <c r="J629" s="996">
        <f t="shared" si="324"/>
        <v>99.999999999999986</v>
      </c>
      <c r="K629" s="996">
        <f t="shared" si="324"/>
        <v>99.999999999999986</v>
      </c>
      <c r="L629" s="996">
        <f t="shared" si="324"/>
        <v>99.999999999999986</v>
      </c>
      <c r="M629" s="996">
        <f t="shared" si="324"/>
        <v>99.999999999999986</v>
      </c>
      <c r="N629" s="996">
        <f t="shared" si="324"/>
        <v>99.999999999999986</v>
      </c>
      <c r="O629" s="996">
        <f t="shared" si="324"/>
        <v>99.999999999999986</v>
      </c>
      <c r="P629" s="996">
        <f t="shared" si="324"/>
        <v>99.999999999999986</v>
      </c>
      <c r="Q629" s="996">
        <f t="shared" si="324"/>
        <v>99.999999999999986</v>
      </c>
      <c r="R629" s="996">
        <f t="shared" si="324"/>
        <v>99.999999999999986</v>
      </c>
      <c r="S629" s="996">
        <f t="shared" si="324"/>
        <v>99.999999999999986</v>
      </c>
      <c r="T629" s="996">
        <f t="shared" si="324"/>
        <v>99.999999999999986</v>
      </c>
      <c r="U629" s="996">
        <f t="shared" si="324"/>
        <v>99.999999999999986</v>
      </c>
      <c r="V629" s="996">
        <f t="shared" si="324"/>
        <v>99.999999999999986</v>
      </c>
      <c r="W629" s="996">
        <f t="shared" si="324"/>
        <v>99.999999999999986</v>
      </c>
      <c r="X629" s="996">
        <f t="shared" si="324"/>
        <v>99.999999999999986</v>
      </c>
      <c r="Y629" s="996">
        <f t="shared" si="324"/>
        <v>99.999999999999986</v>
      </c>
      <c r="Z629" s="996">
        <f t="shared" si="324"/>
        <v>99.999999999999986</v>
      </c>
      <c r="AA629" s="996">
        <f t="shared" si="324"/>
        <v>104.81471178348647</v>
      </c>
      <c r="AB629" s="996">
        <f t="shared" si="324"/>
        <v>104.81471178348647</v>
      </c>
      <c r="AC629" s="996">
        <f t="shared" si="324"/>
        <v>104.81471178348647</v>
      </c>
      <c r="AD629" s="996">
        <f t="shared" si="324"/>
        <v>104.81471178348647</v>
      </c>
      <c r="AE629" s="996">
        <f t="shared" si="324"/>
        <v>104.81471178348647</v>
      </c>
      <c r="AF629" s="996">
        <f t="shared" si="324"/>
        <v>104.81471178348647</v>
      </c>
    </row>
    <row r="630" spans="1:32" s="1010" customFormat="1" outlineLevel="4">
      <c r="A630" s="999"/>
      <c r="B630" s="999"/>
      <c r="C630" s="999"/>
      <c r="D630" s="1013">
        <f>+D627+1</f>
        <v>191</v>
      </c>
      <c r="E630" s="1014" t="s">
        <v>1770</v>
      </c>
      <c r="F630" s="988">
        <f>+'[11]7'!$P$282</f>
        <v>22520.587000000003</v>
      </c>
      <c r="G630" s="987">
        <v>4.5477135519341565E-3</v>
      </c>
      <c r="H630" s="986">
        <f>IF(H288=0,100,H288/H288*100)</f>
        <v>100</v>
      </c>
      <c r="I630" s="986">
        <f t="shared" ref="I630:AF630" si="325">IF(I288=0,100,I288/H288*H630)</f>
        <v>100</v>
      </c>
      <c r="J630" s="986">
        <f t="shared" si="325"/>
        <v>100</v>
      </c>
      <c r="K630" s="986">
        <f t="shared" si="325"/>
        <v>100</v>
      </c>
      <c r="L630" s="986">
        <f t="shared" si="325"/>
        <v>100</v>
      </c>
      <c r="M630" s="986">
        <f t="shared" si="325"/>
        <v>100</v>
      </c>
      <c r="N630" s="986">
        <f t="shared" si="325"/>
        <v>100</v>
      </c>
      <c r="O630" s="986">
        <f t="shared" si="325"/>
        <v>100</v>
      </c>
      <c r="P630" s="986">
        <f t="shared" si="325"/>
        <v>100</v>
      </c>
      <c r="Q630" s="986">
        <f t="shared" si="325"/>
        <v>100</v>
      </c>
      <c r="R630" s="986">
        <f t="shared" si="325"/>
        <v>100</v>
      </c>
      <c r="S630" s="986">
        <f t="shared" si="325"/>
        <v>100</v>
      </c>
      <c r="T630" s="986">
        <f t="shared" si="325"/>
        <v>100</v>
      </c>
      <c r="U630" s="986">
        <f t="shared" si="325"/>
        <v>100</v>
      </c>
      <c r="V630" s="986">
        <f t="shared" si="325"/>
        <v>100</v>
      </c>
      <c r="W630" s="986">
        <f t="shared" si="325"/>
        <v>100</v>
      </c>
      <c r="X630" s="986">
        <f t="shared" si="325"/>
        <v>100</v>
      </c>
      <c r="Y630" s="986">
        <f t="shared" si="325"/>
        <v>100</v>
      </c>
      <c r="Z630" s="986">
        <f t="shared" si="325"/>
        <v>100</v>
      </c>
      <c r="AA630" s="986">
        <f t="shared" si="325"/>
        <v>100</v>
      </c>
      <c r="AB630" s="986">
        <f t="shared" si="325"/>
        <v>100</v>
      </c>
      <c r="AC630" s="986">
        <f t="shared" si="325"/>
        <v>100</v>
      </c>
      <c r="AD630" s="986">
        <f t="shared" si="325"/>
        <v>100</v>
      </c>
      <c r="AE630" s="986">
        <f t="shared" si="325"/>
        <v>100</v>
      </c>
      <c r="AF630" s="986">
        <f t="shared" si="325"/>
        <v>100</v>
      </c>
    </row>
    <row r="631" spans="1:32" ht="25.5" outlineLevel="4">
      <c r="A631" s="999"/>
      <c r="B631" s="999"/>
      <c r="C631" s="999"/>
      <c r="D631" s="1013">
        <f>+D630+1</f>
        <v>192</v>
      </c>
      <c r="E631" s="1014" t="s">
        <v>1769</v>
      </c>
      <c r="F631" s="988">
        <f>+'[11]7'!$P$279+'[13]7'!$P$283+'[13]7'!$P$285</f>
        <v>17220.975029999998</v>
      </c>
      <c r="G631" s="987">
        <v>3.4775319809137615E-3</v>
      </c>
      <c r="H631" s="986">
        <f>IF(H289=0,100,H289/H289*100)</f>
        <v>100</v>
      </c>
      <c r="I631" s="986">
        <f t="shared" ref="I631:AF631" si="326">IF(I289=0,100,I289/H289*H631)</f>
        <v>100</v>
      </c>
      <c r="J631" s="986">
        <f t="shared" si="326"/>
        <v>100</v>
      </c>
      <c r="K631" s="986">
        <f t="shared" si="326"/>
        <v>100</v>
      </c>
      <c r="L631" s="986">
        <f t="shared" si="326"/>
        <v>100</v>
      </c>
      <c r="M631" s="986">
        <f t="shared" si="326"/>
        <v>100</v>
      </c>
      <c r="N631" s="986">
        <f t="shared" si="326"/>
        <v>100</v>
      </c>
      <c r="O631" s="986">
        <f t="shared" si="326"/>
        <v>100</v>
      </c>
      <c r="P631" s="986">
        <f t="shared" si="326"/>
        <v>100</v>
      </c>
      <c r="Q631" s="986">
        <f t="shared" si="326"/>
        <v>100</v>
      </c>
      <c r="R631" s="986">
        <f t="shared" si="326"/>
        <v>100</v>
      </c>
      <c r="S631" s="986">
        <f t="shared" si="326"/>
        <v>100</v>
      </c>
      <c r="T631" s="986">
        <f t="shared" si="326"/>
        <v>100</v>
      </c>
      <c r="U631" s="986">
        <f t="shared" si="326"/>
        <v>100</v>
      </c>
      <c r="V631" s="986">
        <f t="shared" si="326"/>
        <v>100</v>
      </c>
      <c r="W631" s="986">
        <f t="shared" si="326"/>
        <v>100</v>
      </c>
      <c r="X631" s="986">
        <f t="shared" si="326"/>
        <v>100</v>
      </c>
      <c r="Y631" s="986">
        <f t="shared" si="326"/>
        <v>100</v>
      </c>
      <c r="Z631" s="986">
        <f t="shared" si="326"/>
        <v>100</v>
      </c>
      <c r="AA631" s="986">
        <f t="shared" si="326"/>
        <v>111.11111111111111</v>
      </c>
      <c r="AB631" s="986">
        <f t="shared" si="326"/>
        <v>111.11111111111111</v>
      </c>
      <c r="AC631" s="986">
        <f t="shared" si="326"/>
        <v>111.11111111111111</v>
      </c>
      <c r="AD631" s="986">
        <f t="shared" si="326"/>
        <v>111.11111111111111</v>
      </c>
      <c r="AE631" s="986">
        <f t="shared" si="326"/>
        <v>111.11111111111111</v>
      </c>
      <c r="AF631" s="986">
        <f t="shared" si="326"/>
        <v>111.11111111111111</v>
      </c>
    </row>
    <row r="632" spans="1:32" s="1010" customFormat="1" outlineLevel="3">
      <c r="A632" s="999"/>
      <c r="B632" s="999"/>
      <c r="C632" s="1956" t="s">
        <v>1768</v>
      </c>
      <c r="D632" s="1956"/>
      <c r="E632" s="1956"/>
      <c r="F632" s="998">
        <f>SUM(F633)</f>
        <v>11358.962029999997</v>
      </c>
      <c r="G632" s="997">
        <v>2.2937814880107919E-3</v>
      </c>
      <c r="H632" s="996">
        <f t="shared" ref="H632:AF632" si="327">+SUMPRODUCT(H633,$G633)/$G632</f>
        <v>100</v>
      </c>
      <c r="I632" s="996">
        <f t="shared" si="327"/>
        <v>100</v>
      </c>
      <c r="J632" s="996">
        <f t="shared" si="327"/>
        <v>100</v>
      </c>
      <c r="K632" s="996">
        <f t="shared" si="327"/>
        <v>100</v>
      </c>
      <c r="L632" s="996">
        <f t="shared" si="327"/>
        <v>100</v>
      </c>
      <c r="M632" s="996">
        <f t="shared" si="327"/>
        <v>100</v>
      </c>
      <c r="N632" s="996">
        <f t="shared" si="327"/>
        <v>100</v>
      </c>
      <c r="O632" s="996">
        <f t="shared" si="327"/>
        <v>100</v>
      </c>
      <c r="P632" s="996">
        <f t="shared" si="327"/>
        <v>100</v>
      </c>
      <c r="Q632" s="996">
        <f t="shared" si="327"/>
        <v>109.37500000000001</v>
      </c>
      <c r="R632" s="996">
        <f t="shared" si="327"/>
        <v>109.37500000000001</v>
      </c>
      <c r="S632" s="996">
        <f t="shared" si="327"/>
        <v>109.37500000000001</v>
      </c>
      <c r="T632" s="996">
        <f t="shared" si="327"/>
        <v>109.37500000000001</v>
      </c>
      <c r="U632" s="996">
        <f t="shared" si="327"/>
        <v>109.37500000000001</v>
      </c>
      <c r="V632" s="996">
        <f t="shared" si="327"/>
        <v>109.37500000000001</v>
      </c>
      <c r="W632" s="996">
        <f t="shared" si="327"/>
        <v>109.37500000000001</v>
      </c>
      <c r="X632" s="996">
        <f t="shared" si="327"/>
        <v>109.37500000000001</v>
      </c>
      <c r="Y632" s="996">
        <f t="shared" si="327"/>
        <v>109.37500000000001</v>
      </c>
      <c r="Z632" s="996">
        <f t="shared" si="327"/>
        <v>109.37500000000001</v>
      </c>
      <c r="AA632" s="996">
        <f t="shared" si="327"/>
        <v>125</v>
      </c>
      <c r="AB632" s="996">
        <f t="shared" si="327"/>
        <v>125</v>
      </c>
      <c r="AC632" s="996">
        <f t="shared" si="327"/>
        <v>125</v>
      </c>
      <c r="AD632" s="996">
        <f t="shared" si="327"/>
        <v>125</v>
      </c>
      <c r="AE632" s="996">
        <f t="shared" si="327"/>
        <v>125</v>
      </c>
      <c r="AF632" s="996">
        <f t="shared" si="327"/>
        <v>131.25</v>
      </c>
    </row>
    <row r="633" spans="1:32" outlineLevel="4">
      <c r="A633" s="999"/>
      <c r="B633" s="999"/>
      <c r="C633" s="999"/>
      <c r="D633" s="1015">
        <f>+D631+1</f>
        <v>193</v>
      </c>
      <c r="E633" s="1014" t="s">
        <v>1767</v>
      </c>
      <c r="F633" s="988">
        <f>+'[11]7'!$P$278-500</f>
        <v>11358.962029999997</v>
      </c>
      <c r="G633" s="987">
        <v>2.2937814880107919E-3</v>
      </c>
      <c r="H633" s="986">
        <f>IF(H291=0,100,H291/H291*100)</f>
        <v>100</v>
      </c>
      <c r="I633" s="986">
        <f t="shared" ref="I633:AF633" si="328">IF(I291=0,100,I291/H291*H633)</f>
        <v>100</v>
      </c>
      <c r="J633" s="986">
        <f t="shared" si="328"/>
        <v>100</v>
      </c>
      <c r="K633" s="986">
        <f t="shared" si="328"/>
        <v>100</v>
      </c>
      <c r="L633" s="986">
        <f t="shared" si="328"/>
        <v>100</v>
      </c>
      <c r="M633" s="986">
        <f t="shared" si="328"/>
        <v>100</v>
      </c>
      <c r="N633" s="986">
        <f t="shared" si="328"/>
        <v>100</v>
      </c>
      <c r="O633" s="986">
        <f t="shared" si="328"/>
        <v>100</v>
      </c>
      <c r="P633" s="986">
        <f t="shared" si="328"/>
        <v>100</v>
      </c>
      <c r="Q633" s="986">
        <f t="shared" si="328"/>
        <v>109.375</v>
      </c>
      <c r="R633" s="986">
        <f t="shared" si="328"/>
        <v>109.375</v>
      </c>
      <c r="S633" s="986">
        <f t="shared" si="328"/>
        <v>109.375</v>
      </c>
      <c r="T633" s="986">
        <f t="shared" si="328"/>
        <v>109.375</v>
      </c>
      <c r="U633" s="986">
        <f t="shared" si="328"/>
        <v>109.375</v>
      </c>
      <c r="V633" s="986">
        <f t="shared" si="328"/>
        <v>109.375</v>
      </c>
      <c r="W633" s="986">
        <f t="shared" si="328"/>
        <v>109.375</v>
      </c>
      <c r="X633" s="986">
        <f t="shared" si="328"/>
        <v>109.375</v>
      </c>
      <c r="Y633" s="986">
        <f t="shared" si="328"/>
        <v>109.375</v>
      </c>
      <c r="Z633" s="986">
        <f t="shared" si="328"/>
        <v>109.375</v>
      </c>
      <c r="AA633" s="986">
        <f t="shared" si="328"/>
        <v>125</v>
      </c>
      <c r="AB633" s="986">
        <f t="shared" si="328"/>
        <v>125</v>
      </c>
      <c r="AC633" s="986">
        <f t="shared" si="328"/>
        <v>125</v>
      </c>
      <c r="AD633" s="986">
        <f t="shared" si="328"/>
        <v>125</v>
      </c>
      <c r="AE633" s="986">
        <f t="shared" si="328"/>
        <v>125</v>
      </c>
      <c r="AF633" s="986">
        <f t="shared" si="328"/>
        <v>131.25</v>
      </c>
    </row>
    <row r="634" spans="1:32" s="1010" customFormat="1" outlineLevel="3">
      <c r="A634" s="999"/>
      <c r="B634" s="999"/>
      <c r="C634" s="1956" t="s">
        <v>1766</v>
      </c>
      <c r="D634" s="1956"/>
      <c r="E634" s="1956"/>
      <c r="F634" s="998">
        <f>SUM(F635)</f>
        <v>937.82617099999993</v>
      </c>
      <c r="G634" s="997">
        <v>1.8938071140042748E-4</v>
      </c>
      <c r="H634" s="996">
        <f t="shared" ref="H634:AF634" si="329">+SUMPRODUCT(H635,$G635)/$G634</f>
        <v>100</v>
      </c>
      <c r="I634" s="996">
        <f t="shared" si="329"/>
        <v>100</v>
      </c>
      <c r="J634" s="996">
        <f t="shared" si="329"/>
        <v>100</v>
      </c>
      <c r="K634" s="996">
        <f t="shared" si="329"/>
        <v>100</v>
      </c>
      <c r="L634" s="996">
        <f t="shared" si="329"/>
        <v>100</v>
      </c>
      <c r="M634" s="996">
        <f t="shared" si="329"/>
        <v>100</v>
      </c>
      <c r="N634" s="996">
        <f t="shared" si="329"/>
        <v>100</v>
      </c>
      <c r="O634" s="996">
        <f t="shared" si="329"/>
        <v>100</v>
      </c>
      <c r="P634" s="996">
        <f t="shared" si="329"/>
        <v>100</v>
      </c>
      <c r="Q634" s="996">
        <f t="shared" si="329"/>
        <v>100</v>
      </c>
      <c r="R634" s="996">
        <f t="shared" si="329"/>
        <v>100</v>
      </c>
      <c r="S634" s="996">
        <f t="shared" si="329"/>
        <v>100</v>
      </c>
      <c r="T634" s="996">
        <f t="shared" si="329"/>
        <v>100</v>
      </c>
      <c r="U634" s="996">
        <f t="shared" si="329"/>
        <v>100</v>
      </c>
      <c r="V634" s="996">
        <f t="shared" si="329"/>
        <v>100</v>
      </c>
      <c r="W634" s="996">
        <f t="shared" si="329"/>
        <v>100</v>
      </c>
      <c r="X634" s="996">
        <f t="shared" si="329"/>
        <v>100</v>
      </c>
      <c r="Y634" s="996">
        <f t="shared" si="329"/>
        <v>100</v>
      </c>
      <c r="Z634" s="996">
        <f t="shared" si="329"/>
        <v>100</v>
      </c>
      <c r="AA634" s="996">
        <f t="shared" si="329"/>
        <v>100</v>
      </c>
      <c r="AB634" s="996">
        <f t="shared" si="329"/>
        <v>100</v>
      </c>
      <c r="AC634" s="996">
        <f t="shared" si="329"/>
        <v>100</v>
      </c>
      <c r="AD634" s="996">
        <f t="shared" si="329"/>
        <v>100</v>
      </c>
      <c r="AE634" s="996">
        <f t="shared" si="329"/>
        <v>100</v>
      </c>
      <c r="AF634" s="996">
        <f t="shared" si="329"/>
        <v>100</v>
      </c>
    </row>
    <row r="635" spans="1:32" outlineLevel="4">
      <c r="A635" s="999"/>
      <c r="B635" s="999"/>
      <c r="C635" s="999"/>
      <c r="D635" s="1015">
        <f>+D633+1</f>
        <v>194</v>
      </c>
      <c r="E635" s="1026" t="s">
        <v>1765</v>
      </c>
      <c r="F635" s="988">
        <f>+'[11]7'!$P$284+500</f>
        <v>937.82617099999993</v>
      </c>
      <c r="G635" s="987">
        <v>1.8938071140042748E-4</v>
      </c>
      <c r="H635" s="986">
        <f>IF(H293=0,100,H293/H293*100)</f>
        <v>100</v>
      </c>
      <c r="I635" s="986">
        <f t="shared" ref="I635:AF635" si="330">IF(I293=0,100,I293/H293*H635)</f>
        <v>100</v>
      </c>
      <c r="J635" s="986">
        <f t="shared" si="330"/>
        <v>100</v>
      </c>
      <c r="K635" s="986">
        <f t="shared" si="330"/>
        <v>100</v>
      </c>
      <c r="L635" s="986">
        <f t="shared" si="330"/>
        <v>100</v>
      </c>
      <c r="M635" s="986">
        <f t="shared" si="330"/>
        <v>100</v>
      </c>
      <c r="N635" s="986">
        <f t="shared" si="330"/>
        <v>100</v>
      </c>
      <c r="O635" s="986">
        <f t="shared" si="330"/>
        <v>100</v>
      </c>
      <c r="P635" s="986">
        <f t="shared" si="330"/>
        <v>100</v>
      </c>
      <c r="Q635" s="986">
        <f t="shared" si="330"/>
        <v>100</v>
      </c>
      <c r="R635" s="986">
        <f t="shared" si="330"/>
        <v>100</v>
      </c>
      <c r="S635" s="986">
        <f t="shared" si="330"/>
        <v>100</v>
      </c>
      <c r="T635" s="986">
        <f t="shared" si="330"/>
        <v>100</v>
      </c>
      <c r="U635" s="986">
        <f t="shared" si="330"/>
        <v>100</v>
      </c>
      <c r="V635" s="986">
        <f t="shared" si="330"/>
        <v>100</v>
      </c>
      <c r="W635" s="986">
        <f t="shared" si="330"/>
        <v>100</v>
      </c>
      <c r="X635" s="986">
        <f t="shared" si="330"/>
        <v>100</v>
      </c>
      <c r="Y635" s="986">
        <f t="shared" si="330"/>
        <v>100</v>
      </c>
      <c r="Z635" s="986">
        <f t="shared" si="330"/>
        <v>100</v>
      </c>
      <c r="AA635" s="986">
        <f t="shared" si="330"/>
        <v>100</v>
      </c>
      <c r="AB635" s="986">
        <f t="shared" si="330"/>
        <v>100</v>
      </c>
      <c r="AC635" s="986">
        <f t="shared" si="330"/>
        <v>100</v>
      </c>
      <c r="AD635" s="986">
        <f t="shared" si="330"/>
        <v>100</v>
      </c>
      <c r="AE635" s="986">
        <f t="shared" si="330"/>
        <v>100</v>
      </c>
      <c r="AF635" s="986">
        <f t="shared" si="330"/>
        <v>100</v>
      </c>
    </row>
    <row r="636" spans="1:32" s="1010" customFormat="1" outlineLevel="3">
      <c r="A636" s="999"/>
      <c r="B636" s="999"/>
      <c r="C636" s="1956" t="s">
        <v>1764</v>
      </c>
      <c r="D636" s="1956"/>
      <c r="E636" s="1956"/>
      <c r="F636" s="998">
        <f>SUM(F637)</f>
        <v>11161.161</v>
      </c>
      <c r="G636" s="997">
        <v>2.2538383717537638E-3</v>
      </c>
      <c r="H636" s="996">
        <f t="shared" ref="H636:AF636" si="331">+SUMPRODUCT(H637,$G637)/$G636</f>
        <v>100</v>
      </c>
      <c r="I636" s="996">
        <f t="shared" si="331"/>
        <v>111.11111111111111</v>
      </c>
      <c r="J636" s="996">
        <f t="shared" si="331"/>
        <v>100</v>
      </c>
      <c r="K636" s="996">
        <f t="shared" si="331"/>
        <v>100</v>
      </c>
      <c r="L636" s="996">
        <f t="shared" si="331"/>
        <v>100</v>
      </c>
      <c r="M636" s="996">
        <f t="shared" si="331"/>
        <v>100</v>
      </c>
      <c r="N636" s="996">
        <f t="shared" si="331"/>
        <v>100</v>
      </c>
      <c r="O636" s="996">
        <f t="shared" si="331"/>
        <v>100</v>
      </c>
      <c r="P636" s="996">
        <f t="shared" si="331"/>
        <v>100</v>
      </c>
      <c r="Q636" s="996">
        <f t="shared" si="331"/>
        <v>100</v>
      </c>
      <c r="R636" s="996">
        <f t="shared" si="331"/>
        <v>100</v>
      </c>
      <c r="S636" s="996">
        <f t="shared" si="331"/>
        <v>100</v>
      </c>
      <c r="T636" s="996">
        <f t="shared" si="331"/>
        <v>100</v>
      </c>
      <c r="U636" s="996">
        <f t="shared" si="331"/>
        <v>100</v>
      </c>
      <c r="V636" s="996">
        <f t="shared" si="331"/>
        <v>100</v>
      </c>
      <c r="W636" s="996">
        <f t="shared" si="331"/>
        <v>100</v>
      </c>
      <c r="X636" s="996">
        <f t="shared" si="331"/>
        <v>100</v>
      </c>
      <c r="Y636" s="996">
        <f t="shared" si="331"/>
        <v>100</v>
      </c>
      <c r="Z636" s="996">
        <f t="shared" si="331"/>
        <v>100</v>
      </c>
      <c r="AA636" s="996">
        <f t="shared" si="331"/>
        <v>100</v>
      </c>
      <c r="AB636" s="996">
        <f t="shared" si="331"/>
        <v>100</v>
      </c>
      <c r="AC636" s="996">
        <f t="shared" si="331"/>
        <v>100</v>
      </c>
      <c r="AD636" s="996">
        <f t="shared" si="331"/>
        <v>100</v>
      </c>
      <c r="AE636" s="996">
        <f t="shared" si="331"/>
        <v>100</v>
      </c>
      <c r="AF636" s="996">
        <f t="shared" si="331"/>
        <v>100</v>
      </c>
    </row>
    <row r="637" spans="1:32" outlineLevel="4">
      <c r="A637" s="999"/>
      <c r="B637" s="999"/>
      <c r="C637" s="999"/>
      <c r="D637" s="1015">
        <f>+D635+1</f>
        <v>195</v>
      </c>
      <c r="E637" s="1012" t="s">
        <v>1763</v>
      </c>
      <c r="F637" s="988">
        <f>+'[11]7'!$P$280+'[11]7'!$P$281</f>
        <v>11161.161</v>
      </c>
      <c r="G637" s="987">
        <v>2.2538383717537638E-3</v>
      </c>
      <c r="H637" s="986">
        <f>IF(H295=0,100,H295/H295*100)</f>
        <v>100</v>
      </c>
      <c r="I637" s="986">
        <f t="shared" ref="I637:AF637" si="332">IF(I295=0,100,I295/H295*H637)</f>
        <v>111.11111111111111</v>
      </c>
      <c r="J637" s="986">
        <f t="shared" si="332"/>
        <v>100</v>
      </c>
      <c r="K637" s="986">
        <f t="shared" si="332"/>
        <v>100</v>
      </c>
      <c r="L637" s="986">
        <f t="shared" si="332"/>
        <v>100</v>
      </c>
      <c r="M637" s="986">
        <f t="shared" si="332"/>
        <v>100</v>
      </c>
      <c r="N637" s="986">
        <f t="shared" si="332"/>
        <v>100</v>
      </c>
      <c r="O637" s="986">
        <f t="shared" si="332"/>
        <v>100</v>
      </c>
      <c r="P637" s="986">
        <f t="shared" si="332"/>
        <v>100</v>
      </c>
      <c r="Q637" s="986">
        <f t="shared" si="332"/>
        <v>100</v>
      </c>
      <c r="R637" s="986">
        <f t="shared" si="332"/>
        <v>100</v>
      </c>
      <c r="S637" s="986">
        <f t="shared" si="332"/>
        <v>100</v>
      </c>
      <c r="T637" s="986">
        <f t="shared" si="332"/>
        <v>100</v>
      </c>
      <c r="U637" s="986">
        <f t="shared" si="332"/>
        <v>100</v>
      </c>
      <c r="V637" s="986">
        <f t="shared" si="332"/>
        <v>100</v>
      </c>
      <c r="W637" s="986">
        <f t="shared" si="332"/>
        <v>100</v>
      </c>
      <c r="X637" s="986">
        <f t="shared" si="332"/>
        <v>100</v>
      </c>
      <c r="Y637" s="986">
        <f t="shared" si="332"/>
        <v>100</v>
      </c>
      <c r="Z637" s="986">
        <f t="shared" si="332"/>
        <v>100</v>
      </c>
      <c r="AA637" s="986">
        <f t="shared" si="332"/>
        <v>100</v>
      </c>
      <c r="AB637" s="986">
        <f t="shared" si="332"/>
        <v>100</v>
      </c>
      <c r="AC637" s="986">
        <f t="shared" si="332"/>
        <v>100</v>
      </c>
      <c r="AD637" s="986">
        <f t="shared" si="332"/>
        <v>100</v>
      </c>
      <c r="AE637" s="986">
        <f t="shared" si="332"/>
        <v>100</v>
      </c>
      <c r="AF637" s="986">
        <f t="shared" si="332"/>
        <v>100</v>
      </c>
    </row>
    <row r="638" spans="1:32" outlineLevel="1">
      <c r="A638" s="1025" t="s">
        <v>1762</v>
      </c>
      <c r="B638" s="1025"/>
      <c r="C638" s="1025"/>
      <c r="D638" s="1025"/>
      <c r="E638" s="1024"/>
      <c r="F638" s="1023">
        <f>+F639</f>
        <v>88623.503769999996</v>
      </c>
      <c r="G638" s="1022">
        <v>1.7896261279278233E-2</v>
      </c>
      <c r="H638" s="1021">
        <f t="shared" ref="H638:AF638" si="333">+$G$639*H639/$G$638</f>
        <v>100</v>
      </c>
      <c r="I638" s="1021">
        <f t="shared" si="333"/>
        <v>100</v>
      </c>
      <c r="J638" s="1021">
        <f t="shared" si="333"/>
        <v>100</v>
      </c>
      <c r="K638" s="1021">
        <f t="shared" si="333"/>
        <v>100</v>
      </c>
      <c r="L638" s="1021">
        <f t="shared" si="333"/>
        <v>100</v>
      </c>
      <c r="M638" s="1021">
        <f t="shared" si="333"/>
        <v>100</v>
      </c>
      <c r="N638" s="1021">
        <f t="shared" si="333"/>
        <v>100</v>
      </c>
      <c r="O638" s="1021">
        <f t="shared" si="333"/>
        <v>100</v>
      </c>
      <c r="P638" s="1021">
        <f t="shared" si="333"/>
        <v>104.16666666666667</v>
      </c>
      <c r="Q638" s="1021">
        <f t="shared" si="333"/>
        <v>104.16666666666667</v>
      </c>
      <c r="R638" s="1021">
        <f t="shared" si="333"/>
        <v>104.16666666666667</v>
      </c>
      <c r="S638" s="1021">
        <f t="shared" si="333"/>
        <v>104.16666666666667</v>
      </c>
      <c r="T638" s="1021">
        <f t="shared" si="333"/>
        <v>104.16666666666667</v>
      </c>
      <c r="U638" s="1021">
        <f t="shared" si="333"/>
        <v>104.16666666666667</v>
      </c>
      <c r="V638" s="1021">
        <f t="shared" si="333"/>
        <v>104.16666666666667</v>
      </c>
      <c r="W638" s="1021">
        <f t="shared" si="333"/>
        <v>104.16666666666667</v>
      </c>
      <c r="X638" s="1021">
        <f t="shared" si="333"/>
        <v>104.16666666666667</v>
      </c>
      <c r="Y638" s="1021">
        <f t="shared" si="333"/>
        <v>104.16666666666667</v>
      </c>
      <c r="Z638" s="1021">
        <f t="shared" si="333"/>
        <v>104.16666666666667</v>
      </c>
      <c r="AA638" s="1021">
        <f t="shared" si="333"/>
        <v>104.16666666666667</v>
      </c>
      <c r="AB638" s="1021">
        <f t="shared" si="333"/>
        <v>111.11111111111111</v>
      </c>
      <c r="AC638" s="1021">
        <f t="shared" si="333"/>
        <v>111.11111111111111</v>
      </c>
      <c r="AD638" s="1021">
        <f t="shared" si="333"/>
        <v>111.11111111111111</v>
      </c>
      <c r="AE638" s="1021">
        <f t="shared" si="333"/>
        <v>111.11111111111111</v>
      </c>
      <c r="AF638" s="1021">
        <f t="shared" si="333"/>
        <v>111.11111111111111</v>
      </c>
    </row>
    <row r="639" spans="1:32" outlineLevel="2">
      <c r="A639" s="999"/>
      <c r="B639" s="1955" t="s">
        <v>1761</v>
      </c>
      <c r="C639" s="1955"/>
      <c r="D639" s="1955"/>
      <c r="E639" s="1955"/>
      <c r="F639" s="1020">
        <f>+F640</f>
        <v>88623.503769999996</v>
      </c>
      <c r="G639" s="1019">
        <v>1.7896261279278233E-2</v>
      </c>
      <c r="H639" s="1018">
        <f t="shared" ref="H639:AF639" si="334">+$G$640*H640/$G$639</f>
        <v>100</v>
      </c>
      <c r="I639" s="1018">
        <f t="shared" si="334"/>
        <v>100</v>
      </c>
      <c r="J639" s="1018">
        <f t="shared" si="334"/>
        <v>100</v>
      </c>
      <c r="K639" s="1018">
        <f t="shared" si="334"/>
        <v>100</v>
      </c>
      <c r="L639" s="1018">
        <f t="shared" si="334"/>
        <v>100</v>
      </c>
      <c r="M639" s="1018">
        <f t="shared" si="334"/>
        <v>100</v>
      </c>
      <c r="N639" s="1018">
        <f t="shared" si="334"/>
        <v>100</v>
      </c>
      <c r="O639" s="1018">
        <f t="shared" si="334"/>
        <v>100</v>
      </c>
      <c r="P639" s="1018">
        <f t="shared" si="334"/>
        <v>104.16666666666667</v>
      </c>
      <c r="Q639" s="1018">
        <f t="shared" si="334"/>
        <v>104.16666666666667</v>
      </c>
      <c r="R639" s="1018">
        <f t="shared" si="334"/>
        <v>104.16666666666667</v>
      </c>
      <c r="S639" s="1018">
        <f t="shared" si="334"/>
        <v>104.16666666666667</v>
      </c>
      <c r="T639" s="1018">
        <f t="shared" si="334"/>
        <v>104.16666666666667</v>
      </c>
      <c r="U639" s="1018">
        <f t="shared" si="334"/>
        <v>104.16666666666667</v>
      </c>
      <c r="V639" s="1018">
        <f t="shared" si="334"/>
        <v>104.16666666666667</v>
      </c>
      <c r="W639" s="1018">
        <f t="shared" si="334"/>
        <v>104.16666666666667</v>
      </c>
      <c r="X639" s="1018">
        <f t="shared" si="334"/>
        <v>104.16666666666667</v>
      </c>
      <c r="Y639" s="1018">
        <f t="shared" si="334"/>
        <v>104.16666666666667</v>
      </c>
      <c r="Z639" s="1018">
        <f t="shared" si="334"/>
        <v>104.16666666666667</v>
      </c>
      <c r="AA639" s="1018">
        <f t="shared" si="334"/>
        <v>104.16666666666667</v>
      </c>
      <c r="AB639" s="1018">
        <f t="shared" si="334"/>
        <v>111.11111111111111</v>
      </c>
      <c r="AC639" s="1018">
        <f t="shared" si="334"/>
        <v>111.11111111111111</v>
      </c>
      <c r="AD639" s="1018">
        <f t="shared" si="334"/>
        <v>111.11111111111111</v>
      </c>
      <c r="AE639" s="1018">
        <f t="shared" si="334"/>
        <v>111.11111111111111</v>
      </c>
      <c r="AF639" s="1018">
        <f t="shared" si="334"/>
        <v>111.11111111111111</v>
      </c>
    </row>
    <row r="640" spans="1:32" s="1010" customFormat="1" ht="14.25" customHeight="1" outlineLevel="3">
      <c r="A640" s="999"/>
      <c r="B640" s="999"/>
      <c r="C640" s="1956" t="s">
        <v>1760</v>
      </c>
      <c r="D640" s="1956"/>
      <c r="E640" s="1956"/>
      <c r="F640" s="998">
        <f>SUM(F641)</f>
        <v>88623.503769999996</v>
      </c>
      <c r="G640" s="997">
        <v>1.7896261279278233E-2</v>
      </c>
      <c r="H640" s="996">
        <f t="shared" ref="H640:AF640" si="335">+SUMPRODUCT(H641,$G641)/$G640</f>
        <v>100</v>
      </c>
      <c r="I640" s="996">
        <f t="shared" si="335"/>
        <v>100</v>
      </c>
      <c r="J640" s="996">
        <f t="shared" si="335"/>
        <v>100</v>
      </c>
      <c r="K640" s="996">
        <f t="shared" si="335"/>
        <v>100</v>
      </c>
      <c r="L640" s="996">
        <f t="shared" si="335"/>
        <v>100</v>
      </c>
      <c r="M640" s="996">
        <f t="shared" si="335"/>
        <v>100</v>
      </c>
      <c r="N640" s="996">
        <f t="shared" si="335"/>
        <v>100</v>
      </c>
      <c r="O640" s="996">
        <f t="shared" si="335"/>
        <v>100</v>
      </c>
      <c r="P640" s="996">
        <f t="shared" si="335"/>
        <v>104.16666666666667</v>
      </c>
      <c r="Q640" s="996">
        <f t="shared" si="335"/>
        <v>104.16666666666667</v>
      </c>
      <c r="R640" s="996">
        <f t="shared" si="335"/>
        <v>104.16666666666667</v>
      </c>
      <c r="S640" s="996">
        <f t="shared" si="335"/>
        <v>104.16666666666667</v>
      </c>
      <c r="T640" s="996">
        <f t="shared" si="335"/>
        <v>104.16666666666667</v>
      </c>
      <c r="U640" s="996">
        <f t="shared" si="335"/>
        <v>104.16666666666667</v>
      </c>
      <c r="V640" s="996">
        <f t="shared" si="335"/>
        <v>104.16666666666667</v>
      </c>
      <c r="W640" s="996">
        <f t="shared" si="335"/>
        <v>104.16666666666667</v>
      </c>
      <c r="X640" s="996">
        <f t="shared" si="335"/>
        <v>104.16666666666667</v>
      </c>
      <c r="Y640" s="996">
        <f t="shared" si="335"/>
        <v>104.16666666666667</v>
      </c>
      <c r="Z640" s="996">
        <f t="shared" si="335"/>
        <v>104.16666666666667</v>
      </c>
      <c r="AA640" s="996">
        <f t="shared" si="335"/>
        <v>104.16666666666667</v>
      </c>
      <c r="AB640" s="996">
        <f t="shared" si="335"/>
        <v>111.11111111111111</v>
      </c>
      <c r="AC640" s="996">
        <f t="shared" si="335"/>
        <v>111.11111111111111</v>
      </c>
      <c r="AD640" s="996">
        <f t="shared" si="335"/>
        <v>111.11111111111111</v>
      </c>
      <c r="AE640" s="996">
        <f t="shared" si="335"/>
        <v>111.11111111111111</v>
      </c>
      <c r="AF640" s="996">
        <f t="shared" si="335"/>
        <v>111.11111111111111</v>
      </c>
    </row>
    <row r="641" spans="1:32" ht="14.25" customHeight="1" outlineLevel="4">
      <c r="A641" s="999"/>
      <c r="B641" s="999"/>
      <c r="C641" s="999"/>
      <c r="D641" s="1017">
        <f>+D637+1</f>
        <v>196</v>
      </c>
      <c r="E641" s="1014" t="s">
        <v>1759</v>
      </c>
      <c r="F641" s="988">
        <f>+SUM('[11]7'!$P$287:$P$292)+'[13]7'!$P$270</f>
        <v>88623.503769999996</v>
      </c>
      <c r="G641" s="987">
        <v>1.7896261279278233E-2</v>
      </c>
      <c r="H641" s="986">
        <f>IF(H299=0,100,H299/H299*100)</f>
        <v>100</v>
      </c>
      <c r="I641" s="986">
        <f t="shared" ref="I641:AF641" si="336">IF(I299=0,100,I299/H299*H641)</f>
        <v>100</v>
      </c>
      <c r="J641" s="986">
        <f t="shared" si="336"/>
        <v>100</v>
      </c>
      <c r="K641" s="986">
        <f t="shared" si="336"/>
        <v>100</v>
      </c>
      <c r="L641" s="986">
        <f t="shared" si="336"/>
        <v>100</v>
      </c>
      <c r="M641" s="986">
        <f t="shared" si="336"/>
        <v>100</v>
      </c>
      <c r="N641" s="986">
        <f t="shared" si="336"/>
        <v>100</v>
      </c>
      <c r="O641" s="986">
        <f t="shared" si="336"/>
        <v>100</v>
      </c>
      <c r="P641" s="986">
        <f t="shared" si="336"/>
        <v>104.16666666666667</v>
      </c>
      <c r="Q641" s="986">
        <f t="shared" si="336"/>
        <v>104.16666666666667</v>
      </c>
      <c r="R641" s="986">
        <f t="shared" si="336"/>
        <v>104.16666666666667</v>
      </c>
      <c r="S641" s="986">
        <f t="shared" si="336"/>
        <v>104.16666666666667</v>
      </c>
      <c r="T641" s="986">
        <f t="shared" si="336"/>
        <v>104.16666666666667</v>
      </c>
      <c r="U641" s="986">
        <f t="shared" si="336"/>
        <v>104.16666666666667</v>
      </c>
      <c r="V641" s="986">
        <f t="shared" si="336"/>
        <v>104.16666666666667</v>
      </c>
      <c r="W641" s="986">
        <f t="shared" si="336"/>
        <v>104.16666666666667</v>
      </c>
      <c r="X641" s="986">
        <f t="shared" si="336"/>
        <v>104.16666666666667</v>
      </c>
      <c r="Y641" s="986">
        <f t="shared" si="336"/>
        <v>104.16666666666667</v>
      </c>
      <c r="Z641" s="986">
        <f t="shared" si="336"/>
        <v>104.16666666666667</v>
      </c>
      <c r="AA641" s="986">
        <f t="shared" si="336"/>
        <v>104.16666666666667</v>
      </c>
      <c r="AB641" s="986">
        <f t="shared" si="336"/>
        <v>111.11111111111111</v>
      </c>
      <c r="AC641" s="986">
        <f t="shared" si="336"/>
        <v>111.11111111111111</v>
      </c>
      <c r="AD641" s="986">
        <f t="shared" si="336"/>
        <v>111.11111111111111</v>
      </c>
      <c r="AE641" s="986">
        <f t="shared" si="336"/>
        <v>111.11111111111111</v>
      </c>
      <c r="AF641" s="986">
        <f t="shared" si="336"/>
        <v>111.11111111111111</v>
      </c>
    </row>
    <row r="642" spans="1:32" outlineLevel="1">
      <c r="A642" s="1954" t="s">
        <v>1758</v>
      </c>
      <c r="B642" s="1954"/>
      <c r="C642" s="1954"/>
      <c r="D642" s="1954"/>
      <c r="E642" s="1954"/>
      <c r="F642" s="1023">
        <f>+F643+F648</f>
        <v>173509.74656</v>
      </c>
      <c r="G642" s="1022">
        <v>3.5037835640055602E-2</v>
      </c>
      <c r="H642" s="1021">
        <f t="shared" ref="H642:AF642" si="337">+($G$643*H643+$G$648*H648)/$G$642</f>
        <v>99.999999999999986</v>
      </c>
      <c r="I642" s="1021">
        <f t="shared" si="337"/>
        <v>99.999999999999986</v>
      </c>
      <c r="J642" s="1021">
        <f t="shared" si="337"/>
        <v>99.999999999999986</v>
      </c>
      <c r="K642" s="1021">
        <f t="shared" si="337"/>
        <v>99.999999999999986</v>
      </c>
      <c r="L642" s="1021">
        <f t="shared" si="337"/>
        <v>99.999999999999986</v>
      </c>
      <c r="M642" s="1021">
        <f t="shared" si="337"/>
        <v>99.999999999999986</v>
      </c>
      <c r="N642" s="1021">
        <f t="shared" si="337"/>
        <v>99.999999999999986</v>
      </c>
      <c r="O642" s="1021">
        <f t="shared" si="337"/>
        <v>99.999999999999986</v>
      </c>
      <c r="P642" s="1021">
        <f t="shared" si="337"/>
        <v>99.999999999999986</v>
      </c>
      <c r="Q642" s="1021">
        <f t="shared" si="337"/>
        <v>100.81582953666472</v>
      </c>
      <c r="R642" s="1021">
        <f t="shared" si="337"/>
        <v>100.81582953666472</v>
      </c>
      <c r="S642" s="1021">
        <f t="shared" si="337"/>
        <v>119.81048898956747</v>
      </c>
      <c r="T642" s="1021">
        <f t="shared" si="337"/>
        <v>119.81048898956747</v>
      </c>
      <c r="U642" s="1021">
        <f t="shared" si="337"/>
        <v>121.75633968760215</v>
      </c>
      <c r="V642" s="1021">
        <f t="shared" si="337"/>
        <v>121.75633968760215</v>
      </c>
      <c r="W642" s="1021">
        <f t="shared" si="337"/>
        <v>121.75633968760215</v>
      </c>
      <c r="X642" s="1021">
        <f t="shared" si="337"/>
        <v>122.24583740960097</v>
      </c>
      <c r="Y642" s="1021">
        <f t="shared" si="337"/>
        <v>122.24583740960097</v>
      </c>
      <c r="Z642" s="1021">
        <f t="shared" si="337"/>
        <v>123.40729827921734</v>
      </c>
      <c r="AA642" s="1021">
        <f t="shared" si="337"/>
        <v>123.40729827921734</v>
      </c>
      <c r="AB642" s="1021">
        <f t="shared" si="337"/>
        <v>123.40729827921734</v>
      </c>
      <c r="AC642" s="1021">
        <f t="shared" si="337"/>
        <v>123.57046418655028</v>
      </c>
      <c r="AD642" s="1021">
        <f t="shared" si="337"/>
        <v>123.57046418655028</v>
      </c>
      <c r="AE642" s="1021">
        <f t="shared" si="337"/>
        <v>126.07585135140177</v>
      </c>
      <c r="AF642" s="1021">
        <f t="shared" si="337"/>
        <v>127.2709397116689</v>
      </c>
    </row>
    <row r="643" spans="1:32" outlineLevel="2">
      <c r="A643" s="999"/>
      <c r="B643" s="1955" t="s">
        <v>1757</v>
      </c>
      <c r="C643" s="1955"/>
      <c r="D643" s="1955"/>
      <c r="E643" s="1955"/>
      <c r="F643" s="1020">
        <f>+F644+F646</f>
        <v>74636.990129999991</v>
      </c>
      <c r="G643" s="1019">
        <v>1.5071882961566536E-2</v>
      </c>
      <c r="H643" s="1018">
        <f t="shared" ref="H643:AF643" si="338">+($G$644*H644+$G$646*H646)/$G$643</f>
        <v>100</v>
      </c>
      <c r="I643" s="1018">
        <f t="shared" si="338"/>
        <v>100</v>
      </c>
      <c r="J643" s="1018">
        <f t="shared" si="338"/>
        <v>100</v>
      </c>
      <c r="K643" s="1018">
        <f t="shared" si="338"/>
        <v>100</v>
      </c>
      <c r="L643" s="1018">
        <f t="shared" si="338"/>
        <v>100</v>
      </c>
      <c r="M643" s="1018">
        <f t="shared" si="338"/>
        <v>100</v>
      </c>
      <c r="N643" s="1018">
        <f t="shared" si="338"/>
        <v>100</v>
      </c>
      <c r="O643" s="1018">
        <f t="shared" si="338"/>
        <v>100</v>
      </c>
      <c r="P643" s="1018">
        <f t="shared" si="338"/>
        <v>100</v>
      </c>
      <c r="Q643" s="1018">
        <f t="shared" si="338"/>
        <v>101.89657133676349</v>
      </c>
      <c r="R643" s="1018">
        <f t="shared" si="338"/>
        <v>101.89657133676349</v>
      </c>
      <c r="S643" s="1018">
        <f t="shared" si="338"/>
        <v>101.89657133676349</v>
      </c>
      <c r="T643" s="1018">
        <f t="shared" si="338"/>
        <v>101.89657133676349</v>
      </c>
      <c r="U643" s="1018">
        <f t="shared" si="338"/>
        <v>106.42012006068084</v>
      </c>
      <c r="V643" s="1018">
        <f t="shared" si="338"/>
        <v>106.42012006068084</v>
      </c>
      <c r="W643" s="1018">
        <f t="shared" si="338"/>
        <v>106.42012006068084</v>
      </c>
      <c r="X643" s="1018">
        <f t="shared" si="338"/>
        <v>107.55806286273892</v>
      </c>
      <c r="Y643" s="1018">
        <f t="shared" si="338"/>
        <v>107.55806286273892</v>
      </c>
      <c r="Z643" s="1018">
        <f t="shared" si="338"/>
        <v>110.25812861800969</v>
      </c>
      <c r="AA643" s="1018">
        <f t="shared" si="338"/>
        <v>110.25812861800969</v>
      </c>
      <c r="AB643" s="1018">
        <f t="shared" si="338"/>
        <v>110.25812861800969</v>
      </c>
      <c r="AC643" s="1018">
        <f t="shared" si="338"/>
        <v>110.63744288536239</v>
      </c>
      <c r="AD643" s="1018">
        <f t="shared" si="338"/>
        <v>110.63744288536239</v>
      </c>
      <c r="AE643" s="1018">
        <f t="shared" si="338"/>
        <v>116.46175454705853</v>
      </c>
      <c r="AF643" s="1018">
        <f t="shared" si="338"/>
        <v>119.23999464148872</v>
      </c>
    </row>
    <row r="644" spans="1:32" s="1010" customFormat="1" outlineLevel="3">
      <c r="A644" s="999"/>
      <c r="B644" s="999"/>
      <c r="C644" s="1956" t="s">
        <v>1756</v>
      </c>
      <c r="D644" s="1956"/>
      <c r="E644" s="1956"/>
      <c r="F644" s="998">
        <f>SUM(F645)</f>
        <v>64728.183799999999</v>
      </c>
      <c r="G644" s="997">
        <v>1.3070939876449264E-2</v>
      </c>
      <c r="H644" s="996">
        <f t="shared" ref="H644:AF644" si="339">+SUMPRODUCT(H645,$G645)/$G644</f>
        <v>100</v>
      </c>
      <c r="I644" s="996">
        <f t="shared" si="339"/>
        <v>100</v>
      </c>
      <c r="J644" s="996">
        <f t="shared" si="339"/>
        <v>100</v>
      </c>
      <c r="K644" s="996">
        <f t="shared" si="339"/>
        <v>100</v>
      </c>
      <c r="L644" s="996">
        <f t="shared" si="339"/>
        <v>100</v>
      </c>
      <c r="M644" s="996">
        <f t="shared" si="339"/>
        <v>100</v>
      </c>
      <c r="N644" s="996">
        <f t="shared" si="339"/>
        <v>100</v>
      </c>
      <c r="O644" s="996">
        <f t="shared" si="339"/>
        <v>100</v>
      </c>
      <c r="P644" s="996">
        <f t="shared" si="339"/>
        <v>100</v>
      </c>
      <c r="Q644" s="996">
        <f t="shared" si="339"/>
        <v>100</v>
      </c>
      <c r="R644" s="996">
        <f t="shared" si="339"/>
        <v>100</v>
      </c>
      <c r="S644" s="996">
        <f t="shared" si="339"/>
        <v>100</v>
      </c>
      <c r="T644" s="996">
        <f t="shared" si="339"/>
        <v>100</v>
      </c>
      <c r="U644" s="996">
        <f t="shared" si="339"/>
        <v>105.21602865457803</v>
      </c>
      <c r="V644" s="996">
        <f t="shared" si="339"/>
        <v>105.21602865457803</v>
      </c>
      <c r="W644" s="996">
        <f t="shared" si="339"/>
        <v>105.21602865457803</v>
      </c>
      <c r="X644" s="996">
        <f t="shared" si="339"/>
        <v>105.21602865457803</v>
      </c>
      <c r="Y644" s="996">
        <f t="shared" si="339"/>
        <v>105.21602865457803</v>
      </c>
      <c r="Z644" s="996">
        <f t="shared" si="339"/>
        <v>107.45466756212222</v>
      </c>
      <c r="AA644" s="996">
        <f t="shared" si="339"/>
        <v>107.45466756212222</v>
      </c>
      <c r="AB644" s="996">
        <f t="shared" si="339"/>
        <v>107.45466756212222</v>
      </c>
      <c r="AC644" s="996">
        <f t="shared" si="339"/>
        <v>107.45466756212222</v>
      </c>
      <c r="AD644" s="996">
        <f t="shared" si="339"/>
        <v>107.45466756212222</v>
      </c>
      <c r="AE644" s="996">
        <f t="shared" si="339"/>
        <v>114.17058428475487</v>
      </c>
      <c r="AF644" s="996">
        <f t="shared" si="339"/>
        <v>117.15543616148048</v>
      </c>
    </row>
    <row r="645" spans="1:32" outlineLevel="4">
      <c r="A645" s="999"/>
      <c r="B645" s="999"/>
      <c r="C645" s="999"/>
      <c r="D645" s="1017">
        <f>D641+1</f>
        <v>197</v>
      </c>
      <c r="E645" s="1014" t="s">
        <v>1755</v>
      </c>
      <c r="F645" s="988">
        <f>+'[11]7'!$P$293</f>
        <v>64728.183799999999</v>
      </c>
      <c r="G645" s="987">
        <v>1.3070939876449264E-2</v>
      </c>
      <c r="H645" s="986">
        <f>IF(H303=0,100,H303/H303*100)</f>
        <v>100</v>
      </c>
      <c r="I645" s="986">
        <f t="shared" ref="I645:AF645" si="340">IF(I303=0,100,I303/H303*H645)</f>
        <v>100</v>
      </c>
      <c r="J645" s="986">
        <f t="shared" si="340"/>
        <v>100</v>
      </c>
      <c r="K645" s="986">
        <f t="shared" si="340"/>
        <v>100</v>
      </c>
      <c r="L645" s="986">
        <f t="shared" si="340"/>
        <v>100</v>
      </c>
      <c r="M645" s="986">
        <f t="shared" si="340"/>
        <v>100</v>
      </c>
      <c r="N645" s="986">
        <f t="shared" si="340"/>
        <v>100</v>
      </c>
      <c r="O645" s="986">
        <f t="shared" si="340"/>
        <v>100</v>
      </c>
      <c r="P645" s="986">
        <f t="shared" si="340"/>
        <v>100</v>
      </c>
      <c r="Q645" s="986">
        <f t="shared" si="340"/>
        <v>100</v>
      </c>
      <c r="R645" s="986">
        <f t="shared" si="340"/>
        <v>100</v>
      </c>
      <c r="S645" s="986">
        <f t="shared" si="340"/>
        <v>100</v>
      </c>
      <c r="T645" s="986">
        <f t="shared" si="340"/>
        <v>100</v>
      </c>
      <c r="U645" s="986">
        <f t="shared" si="340"/>
        <v>105.21602865457803</v>
      </c>
      <c r="V645" s="986">
        <f t="shared" si="340"/>
        <v>105.21602865457803</v>
      </c>
      <c r="W645" s="986">
        <f t="shared" si="340"/>
        <v>105.21602865457803</v>
      </c>
      <c r="X645" s="986">
        <f t="shared" si="340"/>
        <v>105.21602865457803</v>
      </c>
      <c r="Y645" s="986">
        <f t="shared" si="340"/>
        <v>105.21602865457803</v>
      </c>
      <c r="Z645" s="986">
        <f t="shared" si="340"/>
        <v>107.45466756212222</v>
      </c>
      <c r="AA645" s="986">
        <f t="shared" si="340"/>
        <v>107.45466756212222</v>
      </c>
      <c r="AB645" s="986">
        <f t="shared" si="340"/>
        <v>107.45466756212222</v>
      </c>
      <c r="AC645" s="986">
        <f t="shared" si="340"/>
        <v>107.45466756212222</v>
      </c>
      <c r="AD645" s="986">
        <f t="shared" si="340"/>
        <v>107.45466756212222</v>
      </c>
      <c r="AE645" s="986">
        <f t="shared" si="340"/>
        <v>114.17058428475487</v>
      </c>
      <c r="AF645" s="986">
        <f t="shared" si="340"/>
        <v>117.15543616148048</v>
      </c>
    </row>
    <row r="646" spans="1:32" s="1010" customFormat="1" outlineLevel="3">
      <c r="A646" s="999"/>
      <c r="B646" s="999"/>
      <c r="C646" s="1956" t="s">
        <v>1754</v>
      </c>
      <c r="D646" s="1956"/>
      <c r="E646" s="1956"/>
      <c r="F646" s="998">
        <f>SUM(F647)</f>
        <v>9908.8063299999994</v>
      </c>
      <c r="G646" s="997">
        <v>2.0009430851172729E-3</v>
      </c>
      <c r="H646" s="996">
        <f t="shared" ref="H646:AF646" si="341">+SUMPRODUCT(H647,$G647)/$G646</f>
        <v>100</v>
      </c>
      <c r="I646" s="996">
        <f t="shared" si="341"/>
        <v>100</v>
      </c>
      <c r="J646" s="996">
        <f t="shared" si="341"/>
        <v>100</v>
      </c>
      <c r="K646" s="996">
        <f t="shared" si="341"/>
        <v>100</v>
      </c>
      <c r="L646" s="996">
        <f t="shared" si="341"/>
        <v>100</v>
      </c>
      <c r="M646" s="996">
        <f t="shared" si="341"/>
        <v>100</v>
      </c>
      <c r="N646" s="996">
        <f t="shared" si="341"/>
        <v>100</v>
      </c>
      <c r="O646" s="996">
        <f t="shared" si="341"/>
        <v>100</v>
      </c>
      <c r="P646" s="996">
        <f t="shared" si="341"/>
        <v>100</v>
      </c>
      <c r="Q646" s="996">
        <f t="shared" si="341"/>
        <v>114.28571428571428</v>
      </c>
      <c r="R646" s="996">
        <f t="shared" si="341"/>
        <v>114.28571428571428</v>
      </c>
      <c r="S646" s="996">
        <f t="shared" si="341"/>
        <v>114.28571428571428</v>
      </c>
      <c r="T646" s="996">
        <f t="shared" si="341"/>
        <v>114.28571428571428</v>
      </c>
      <c r="U646" s="996">
        <f t="shared" si="341"/>
        <v>114.28571428571428</v>
      </c>
      <c r="V646" s="996">
        <f t="shared" si="341"/>
        <v>114.28571428571428</v>
      </c>
      <c r="W646" s="996">
        <f t="shared" si="341"/>
        <v>114.28571428571428</v>
      </c>
      <c r="X646" s="996">
        <f t="shared" si="341"/>
        <v>122.85714285714285</v>
      </c>
      <c r="Y646" s="996">
        <f t="shared" si="341"/>
        <v>122.85714285714285</v>
      </c>
      <c r="Z646" s="996">
        <f t="shared" si="341"/>
        <v>128.57142857142858</v>
      </c>
      <c r="AA646" s="996">
        <f t="shared" si="341"/>
        <v>128.57142857142858</v>
      </c>
      <c r="AB646" s="996">
        <f t="shared" si="341"/>
        <v>128.57142857142858</v>
      </c>
      <c r="AC646" s="996">
        <f t="shared" si="341"/>
        <v>131.42857142857144</v>
      </c>
      <c r="AD646" s="996">
        <f t="shared" si="341"/>
        <v>131.42857142857144</v>
      </c>
      <c r="AE646" s="996">
        <f t="shared" si="341"/>
        <v>131.42857142857144</v>
      </c>
      <c r="AF646" s="996">
        <f t="shared" si="341"/>
        <v>132.85714285714289</v>
      </c>
    </row>
    <row r="647" spans="1:32" outlineLevel="4">
      <c r="A647" s="999"/>
      <c r="B647" s="999"/>
      <c r="C647" s="999"/>
      <c r="D647" s="1017">
        <f>+D645+1</f>
        <v>198</v>
      </c>
      <c r="E647" s="1026" t="s">
        <v>1753</v>
      </c>
      <c r="F647" s="988">
        <f>+'[11]7'!$P$294</f>
        <v>9908.8063299999994</v>
      </c>
      <c r="G647" s="987">
        <v>2.0009430851172729E-3</v>
      </c>
      <c r="H647" s="986">
        <f>IF(H305=0,100,H305/H305*100)</f>
        <v>100</v>
      </c>
      <c r="I647" s="986">
        <f t="shared" ref="I647:AF647" si="342">IF(I305=0,100,I305/H305*H647)</f>
        <v>100</v>
      </c>
      <c r="J647" s="986">
        <f t="shared" si="342"/>
        <v>100</v>
      </c>
      <c r="K647" s="986">
        <f t="shared" si="342"/>
        <v>100</v>
      </c>
      <c r="L647" s="986">
        <f t="shared" si="342"/>
        <v>100</v>
      </c>
      <c r="M647" s="986">
        <f t="shared" si="342"/>
        <v>100</v>
      </c>
      <c r="N647" s="986">
        <f t="shared" si="342"/>
        <v>100</v>
      </c>
      <c r="O647" s="986">
        <f t="shared" si="342"/>
        <v>100</v>
      </c>
      <c r="P647" s="986">
        <f t="shared" si="342"/>
        <v>100</v>
      </c>
      <c r="Q647" s="986">
        <f t="shared" si="342"/>
        <v>114.28571428571428</v>
      </c>
      <c r="R647" s="986">
        <f t="shared" si="342"/>
        <v>114.28571428571428</v>
      </c>
      <c r="S647" s="986">
        <f t="shared" si="342"/>
        <v>114.28571428571428</v>
      </c>
      <c r="T647" s="986">
        <f t="shared" si="342"/>
        <v>114.28571428571428</v>
      </c>
      <c r="U647" s="986">
        <f t="shared" si="342"/>
        <v>114.28571428571428</v>
      </c>
      <c r="V647" s="986">
        <f t="shared" si="342"/>
        <v>114.28571428571428</v>
      </c>
      <c r="W647" s="986">
        <f t="shared" si="342"/>
        <v>114.28571428571428</v>
      </c>
      <c r="X647" s="986">
        <f t="shared" si="342"/>
        <v>122.85714285714285</v>
      </c>
      <c r="Y647" s="986">
        <f t="shared" si="342"/>
        <v>122.85714285714285</v>
      </c>
      <c r="Z647" s="986">
        <f t="shared" si="342"/>
        <v>128.57142857142858</v>
      </c>
      <c r="AA647" s="986">
        <f t="shared" si="342"/>
        <v>128.57142857142858</v>
      </c>
      <c r="AB647" s="986">
        <f t="shared" si="342"/>
        <v>128.57142857142858</v>
      </c>
      <c r="AC647" s="986">
        <f t="shared" si="342"/>
        <v>131.42857142857144</v>
      </c>
      <c r="AD647" s="986">
        <f t="shared" si="342"/>
        <v>131.42857142857144</v>
      </c>
      <c r="AE647" s="986">
        <f t="shared" si="342"/>
        <v>131.42857142857144</v>
      </c>
      <c r="AF647" s="986">
        <f t="shared" si="342"/>
        <v>132.85714285714289</v>
      </c>
    </row>
    <row r="648" spans="1:32" outlineLevel="2">
      <c r="A648" s="999"/>
      <c r="B648" s="1955" t="s">
        <v>1752</v>
      </c>
      <c r="C648" s="1955"/>
      <c r="D648" s="1955"/>
      <c r="E648" s="1955"/>
      <c r="F648" s="1020">
        <f>+F649</f>
        <v>98872.756430000009</v>
      </c>
      <c r="G648" s="1019">
        <v>1.9965952678489066E-2</v>
      </c>
      <c r="H648" s="1018">
        <f t="shared" ref="H648:AF648" si="343">+$G$649*H649/$G$648</f>
        <v>100</v>
      </c>
      <c r="I648" s="1018">
        <f t="shared" si="343"/>
        <v>100</v>
      </c>
      <c r="J648" s="1018">
        <f t="shared" si="343"/>
        <v>100</v>
      </c>
      <c r="K648" s="1018">
        <f t="shared" si="343"/>
        <v>100</v>
      </c>
      <c r="L648" s="1018">
        <f t="shared" si="343"/>
        <v>100</v>
      </c>
      <c r="M648" s="1018">
        <f t="shared" si="343"/>
        <v>100</v>
      </c>
      <c r="N648" s="1018">
        <f t="shared" si="343"/>
        <v>100</v>
      </c>
      <c r="O648" s="1018">
        <f t="shared" si="343"/>
        <v>100</v>
      </c>
      <c r="P648" s="1018">
        <f t="shared" si="343"/>
        <v>100</v>
      </c>
      <c r="Q648" s="1018">
        <f t="shared" si="343"/>
        <v>100</v>
      </c>
      <c r="R648" s="1018">
        <f t="shared" si="343"/>
        <v>100</v>
      </c>
      <c r="S648" s="1018">
        <f t="shared" si="343"/>
        <v>133.33333333333331</v>
      </c>
      <c r="T648" s="1018">
        <f t="shared" si="343"/>
        <v>133.33333333333331</v>
      </c>
      <c r="U648" s="1018">
        <f t="shared" si="343"/>
        <v>133.33333333333331</v>
      </c>
      <c r="V648" s="1018">
        <f t="shared" si="343"/>
        <v>133.33333333333331</v>
      </c>
      <c r="W648" s="1018">
        <f t="shared" si="343"/>
        <v>133.33333333333331</v>
      </c>
      <c r="X648" s="1018">
        <f t="shared" si="343"/>
        <v>133.33333333333331</v>
      </c>
      <c r="Y648" s="1018">
        <f t="shared" si="343"/>
        <v>133.33333333333331</v>
      </c>
      <c r="Z648" s="1018">
        <f t="shared" si="343"/>
        <v>133.33333333333331</v>
      </c>
      <c r="AA648" s="1018">
        <f t="shared" si="343"/>
        <v>133.33333333333331</v>
      </c>
      <c r="AB648" s="1018">
        <f t="shared" si="343"/>
        <v>133.33333333333331</v>
      </c>
      <c r="AC648" s="1018">
        <f t="shared" si="343"/>
        <v>133.33333333333331</v>
      </c>
      <c r="AD648" s="1018">
        <f t="shared" si="343"/>
        <v>133.33333333333331</v>
      </c>
      <c r="AE648" s="1018">
        <f t="shared" si="343"/>
        <v>133.33333333333331</v>
      </c>
      <c r="AF648" s="1018">
        <f t="shared" si="343"/>
        <v>133.33333333333331</v>
      </c>
    </row>
    <row r="649" spans="1:32" s="1010" customFormat="1" outlineLevel="3">
      <c r="A649" s="999"/>
      <c r="B649" s="999"/>
      <c r="C649" s="1956" t="s">
        <v>1751</v>
      </c>
      <c r="D649" s="1956"/>
      <c r="E649" s="1956"/>
      <c r="F649" s="998">
        <f>SUM(F650)</f>
        <v>98872.756430000009</v>
      </c>
      <c r="G649" s="997">
        <v>1.9965952678489066E-2</v>
      </c>
      <c r="H649" s="996">
        <f t="shared" ref="H649:AF649" si="344">+SUMPRODUCT(H650,$G650)/$G649</f>
        <v>100</v>
      </c>
      <c r="I649" s="996">
        <f t="shared" si="344"/>
        <v>100</v>
      </c>
      <c r="J649" s="996">
        <f t="shared" si="344"/>
        <v>100</v>
      </c>
      <c r="K649" s="996">
        <f t="shared" si="344"/>
        <v>100</v>
      </c>
      <c r="L649" s="996">
        <f t="shared" si="344"/>
        <v>100</v>
      </c>
      <c r="M649" s="996">
        <f t="shared" si="344"/>
        <v>100</v>
      </c>
      <c r="N649" s="996">
        <f t="shared" si="344"/>
        <v>100</v>
      </c>
      <c r="O649" s="996">
        <f t="shared" si="344"/>
        <v>100</v>
      </c>
      <c r="P649" s="996">
        <f t="shared" si="344"/>
        <v>100</v>
      </c>
      <c r="Q649" s="996">
        <f t="shared" si="344"/>
        <v>100</v>
      </c>
      <c r="R649" s="996">
        <f t="shared" si="344"/>
        <v>100</v>
      </c>
      <c r="S649" s="996">
        <f t="shared" si="344"/>
        <v>133.33333333333331</v>
      </c>
      <c r="T649" s="996">
        <f t="shared" si="344"/>
        <v>133.33333333333331</v>
      </c>
      <c r="U649" s="996">
        <f t="shared" si="344"/>
        <v>133.33333333333331</v>
      </c>
      <c r="V649" s="996">
        <f t="shared" si="344"/>
        <v>133.33333333333331</v>
      </c>
      <c r="W649" s="996">
        <f t="shared" si="344"/>
        <v>133.33333333333331</v>
      </c>
      <c r="X649" s="996">
        <f t="shared" si="344"/>
        <v>133.33333333333331</v>
      </c>
      <c r="Y649" s="996">
        <f t="shared" si="344"/>
        <v>133.33333333333331</v>
      </c>
      <c r="Z649" s="996">
        <f t="shared" si="344"/>
        <v>133.33333333333331</v>
      </c>
      <c r="AA649" s="996">
        <f t="shared" si="344"/>
        <v>133.33333333333331</v>
      </c>
      <c r="AB649" s="996">
        <f t="shared" si="344"/>
        <v>133.33333333333331</v>
      </c>
      <c r="AC649" s="996">
        <f t="shared" si="344"/>
        <v>133.33333333333331</v>
      </c>
      <c r="AD649" s="996">
        <f t="shared" si="344"/>
        <v>133.33333333333331</v>
      </c>
      <c r="AE649" s="996">
        <f t="shared" si="344"/>
        <v>133.33333333333331</v>
      </c>
      <c r="AF649" s="996">
        <f t="shared" si="344"/>
        <v>133.33333333333331</v>
      </c>
    </row>
    <row r="650" spans="1:32" outlineLevel="4">
      <c r="A650" s="999"/>
      <c r="B650" s="999"/>
      <c r="C650" s="999"/>
      <c r="D650" s="1017">
        <f>+D647+1</f>
        <v>199</v>
      </c>
      <c r="E650" s="1014" t="s">
        <v>1750</v>
      </c>
      <c r="F650" s="988">
        <f>+SUM('[11]7'!$P$295:$P$297)+'[13]7'!$P$286</f>
        <v>98872.756430000009</v>
      </c>
      <c r="G650" s="987">
        <v>1.9965952678489066E-2</v>
      </c>
      <c r="H650" s="986">
        <f>IF(H308=0,100,H308/H308*100)</f>
        <v>100</v>
      </c>
      <c r="I650" s="986">
        <f t="shared" ref="I650:AF650" si="345">IF(I308=0,100,I308/H308*H650)</f>
        <v>100</v>
      </c>
      <c r="J650" s="986">
        <f t="shared" si="345"/>
        <v>100</v>
      </c>
      <c r="K650" s="986">
        <f t="shared" si="345"/>
        <v>100</v>
      </c>
      <c r="L650" s="986">
        <f t="shared" si="345"/>
        <v>100</v>
      </c>
      <c r="M650" s="986">
        <f t="shared" si="345"/>
        <v>100</v>
      </c>
      <c r="N650" s="986">
        <f t="shared" si="345"/>
        <v>100</v>
      </c>
      <c r="O650" s="986">
        <f t="shared" si="345"/>
        <v>100</v>
      </c>
      <c r="P650" s="986">
        <f t="shared" si="345"/>
        <v>100</v>
      </c>
      <c r="Q650" s="986">
        <f t="shared" si="345"/>
        <v>100</v>
      </c>
      <c r="R650" s="986">
        <f t="shared" si="345"/>
        <v>100</v>
      </c>
      <c r="S650" s="986">
        <f t="shared" si="345"/>
        <v>133.33333333333331</v>
      </c>
      <c r="T650" s="986">
        <f t="shared" si="345"/>
        <v>133.33333333333331</v>
      </c>
      <c r="U650" s="986">
        <f t="shared" si="345"/>
        <v>133.33333333333331</v>
      </c>
      <c r="V650" s="986">
        <f t="shared" si="345"/>
        <v>133.33333333333331</v>
      </c>
      <c r="W650" s="986">
        <f t="shared" si="345"/>
        <v>133.33333333333331</v>
      </c>
      <c r="X650" s="986">
        <f t="shared" si="345"/>
        <v>133.33333333333331</v>
      </c>
      <c r="Y650" s="986">
        <f t="shared" si="345"/>
        <v>133.33333333333331</v>
      </c>
      <c r="Z650" s="986">
        <f t="shared" si="345"/>
        <v>133.33333333333331</v>
      </c>
      <c r="AA650" s="986">
        <f t="shared" si="345"/>
        <v>133.33333333333331</v>
      </c>
      <c r="AB650" s="986">
        <f t="shared" si="345"/>
        <v>133.33333333333331</v>
      </c>
      <c r="AC650" s="986">
        <f t="shared" si="345"/>
        <v>133.33333333333331</v>
      </c>
      <c r="AD650" s="986">
        <f t="shared" si="345"/>
        <v>133.33333333333331</v>
      </c>
      <c r="AE650" s="986">
        <f t="shared" si="345"/>
        <v>133.33333333333331</v>
      </c>
      <c r="AF650" s="986">
        <f t="shared" si="345"/>
        <v>133.33333333333331</v>
      </c>
    </row>
    <row r="651" spans="1:32" outlineLevel="1">
      <c r="A651" s="1025" t="s">
        <v>1749</v>
      </c>
      <c r="B651" s="1025"/>
      <c r="C651" s="1025"/>
      <c r="D651" s="1025"/>
      <c r="E651" s="1024"/>
      <c r="F651" s="1023">
        <f>+F652+F665+F671</f>
        <v>293365.80229799997</v>
      </c>
      <c r="G651" s="1022">
        <v>5.9241068395981457E-2</v>
      </c>
      <c r="H651" s="1021">
        <f t="shared" ref="H651:AF651" si="346">+($G$652*H652+$G$665*H665+$G$671*H671)/$G$651</f>
        <v>100</v>
      </c>
      <c r="I651" s="1021">
        <f t="shared" si="346"/>
        <v>100.3665525795313</v>
      </c>
      <c r="J651" s="1021">
        <f t="shared" si="346"/>
        <v>100.04697719837117</v>
      </c>
      <c r="K651" s="1021">
        <f t="shared" si="346"/>
        <v>100.04697719837117</v>
      </c>
      <c r="L651" s="1021">
        <f t="shared" si="346"/>
        <v>100.04697719837117</v>
      </c>
      <c r="M651" s="1021">
        <f t="shared" si="346"/>
        <v>100.82562032069964</v>
      </c>
      <c r="N651" s="1021">
        <f t="shared" si="346"/>
        <v>100.82562032069964</v>
      </c>
      <c r="O651" s="1021">
        <f t="shared" si="346"/>
        <v>100.82562032069964</v>
      </c>
      <c r="P651" s="1021">
        <f t="shared" si="346"/>
        <v>100.82562032069964</v>
      </c>
      <c r="Q651" s="1021">
        <f t="shared" si="346"/>
        <v>101.20387389746548</v>
      </c>
      <c r="R651" s="1021">
        <f t="shared" si="346"/>
        <v>101.20387389746548</v>
      </c>
      <c r="S651" s="1021">
        <f t="shared" si="346"/>
        <v>101.70571475648121</v>
      </c>
      <c r="T651" s="1021">
        <f t="shared" si="346"/>
        <v>101.70571475648121</v>
      </c>
      <c r="U651" s="1021">
        <f t="shared" si="346"/>
        <v>102.21890448966541</v>
      </c>
      <c r="V651" s="1021">
        <f t="shared" si="346"/>
        <v>104.55215617552922</v>
      </c>
      <c r="W651" s="1021">
        <f t="shared" si="346"/>
        <v>106.39110595443135</v>
      </c>
      <c r="X651" s="1021">
        <f t="shared" si="346"/>
        <v>107.57245361568583</v>
      </c>
      <c r="Y651" s="1021">
        <f t="shared" si="346"/>
        <v>108.2338583277532</v>
      </c>
      <c r="Z651" s="1021">
        <f t="shared" si="346"/>
        <v>109.48622278905606</v>
      </c>
      <c r="AA651" s="1021">
        <f t="shared" si="346"/>
        <v>110.05510470198767</v>
      </c>
      <c r="AB651" s="1021">
        <f t="shared" si="346"/>
        <v>111.90004337850665</v>
      </c>
      <c r="AC651" s="1021">
        <f t="shared" si="346"/>
        <v>114.63435022371189</v>
      </c>
      <c r="AD651" s="1021">
        <f t="shared" si="346"/>
        <v>114.44621430479641</v>
      </c>
      <c r="AE651" s="1021">
        <f t="shared" si="346"/>
        <v>114.44621430479641</v>
      </c>
      <c r="AF651" s="1021">
        <f t="shared" si="346"/>
        <v>114.94487212438976</v>
      </c>
    </row>
    <row r="652" spans="1:32" outlineLevel="2">
      <c r="A652" s="999"/>
      <c r="B652" s="1955" t="s">
        <v>1748</v>
      </c>
      <c r="C652" s="1955"/>
      <c r="D652" s="1955"/>
      <c r="E652" s="1955"/>
      <c r="F652" s="1020">
        <f>+F653+F657</f>
        <v>178416.48483799997</v>
      </c>
      <c r="G652" s="1019">
        <v>3.602868193383358E-2</v>
      </c>
      <c r="H652" s="1018">
        <f t="shared" ref="H652:AF652" si="347">+($G$653*H653+$G$657*H657)/$G$652</f>
        <v>100</v>
      </c>
      <c r="I652" s="1018">
        <f t="shared" si="347"/>
        <v>100.52546987557714</v>
      </c>
      <c r="J652" s="1018">
        <f t="shared" si="347"/>
        <v>100.00000000000001</v>
      </c>
      <c r="K652" s="1018">
        <f t="shared" si="347"/>
        <v>100.00000000000001</v>
      </c>
      <c r="L652" s="1018">
        <f t="shared" si="347"/>
        <v>100.00000000000001</v>
      </c>
      <c r="M652" s="1018">
        <f t="shared" si="347"/>
        <v>101.28030358009309</v>
      </c>
      <c r="N652" s="1018">
        <f t="shared" si="347"/>
        <v>101.28030358009309</v>
      </c>
      <c r="O652" s="1018">
        <f t="shared" si="347"/>
        <v>101.28030358009309</v>
      </c>
      <c r="P652" s="1018">
        <f t="shared" si="347"/>
        <v>101.28030358009309</v>
      </c>
      <c r="Q652" s="1018">
        <f t="shared" si="347"/>
        <v>101.28030358009309</v>
      </c>
      <c r="R652" s="1018">
        <f t="shared" si="347"/>
        <v>101.28030358009309</v>
      </c>
      <c r="S652" s="1018">
        <f t="shared" si="347"/>
        <v>102.05029417424484</v>
      </c>
      <c r="T652" s="1018">
        <f t="shared" si="347"/>
        <v>102.05029417424484</v>
      </c>
      <c r="U652" s="1018">
        <f t="shared" si="347"/>
        <v>102.89411932831271</v>
      </c>
      <c r="V652" s="1018">
        <f t="shared" si="347"/>
        <v>105.87190816974989</v>
      </c>
      <c r="W652" s="1018">
        <f t="shared" si="347"/>
        <v>107.02978876245928</v>
      </c>
      <c r="X652" s="1018">
        <f t="shared" si="347"/>
        <v>108.75655307157284</v>
      </c>
      <c r="Y652" s="1018">
        <f t="shared" si="347"/>
        <v>109.73873585600433</v>
      </c>
      <c r="Z652" s="1018">
        <f t="shared" si="347"/>
        <v>111.79796768815936</v>
      </c>
      <c r="AA652" s="1018">
        <f t="shared" si="347"/>
        <v>112.73336611253444</v>
      </c>
      <c r="AB652" s="1018">
        <f t="shared" si="347"/>
        <v>113.24603679087529</v>
      </c>
      <c r="AC652" s="1018">
        <f t="shared" si="347"/>
        <v>117.74198974107993</v>
      </c>
      <c r="AD652" s="1018">
        <f t="shared" si="347"/>
        <v>117.35789866705203</v>
      </c>
      <c r="AE652" s="1018">
        <f t="shared" si="347"/>
        <v>117.35789866705203</v>
      </c>
      <c r="AF652" s="1018">
        <f t="shared" si="347"/>
        <v>118.17782935591185</v>
      </c>
    </row>
    <row r="653" spans="1:32" s="1010" customFormat="1" outlineLevel="3">
      <c r="A653" s="999"/>
      <c r="B653" s="999"/>
      <c r="C653" s="1956" t="s">
        <v>1747</v>
      </c>
      <c r="D653" s="1956"/>
      <c r="E653" s="1956"/>
      <c r="F653" s="998">
        <f>SUM(F654:F656)</f>
        <v>22670.583559999999</v>
      </c>
      <c r="G653" s="997">
        <v>4.5780032326008064E-3</v>
      </c>
      <c r="H653" s="996">
        <f t="shared" ref="H653:AF653" si="348">+SUMPRODUCT(H654:H656,$G654:$G656)/$G653</f>
        <v>99.999999999999986</v>
      </c>
      <c r="I653" s="996">
        <f t="shared" si="348"/>
        <v>99.999999999999986</v>
      </c>
      <c r="J653" s="996">
        <f t="shared" si="348"/>
        <v>99.999999999999986</v>
      </c>
      <c r="K653" s="996">
        <f t="shared" si="348"/>
        <v>99.999999999999986</v>
      </c>
      <c r="L653" s="996">
        <f t="shared" si="348"/>
        <v>99.999999999999986</v>
      </c>
      <c r="M653" s="996">
        <f t="shared" si="348"/>
        <v>99.999999999999986</v>
      </c>
      <c r="N653" s="996">
        <f t="shared" si="348"/>
        <v>99.999999999999986</v>
      </c>
      <c r="O653" s="996">
        <f t="shared" si="348"/>
        <v>99.999999999999986</v>
      </c>
      <c r="P653" s="996">
        <f t="shared" si="348"/>
        <v>99.999999999999986</v>
      </c>
      <c r="Q653" s="996">
        <f t="shared" si="348"/>
        <v>99.999999999999986</v>
      </c>
      <c r="R653" s="996">
        <f t="shared" si="348"/>
        <v>99.999999999999986</v>
      </c>
      <c r="S653" s="996">
        <f t="shared" si="348"/>
        <v>99.999999999999986</v>
      </c>
      <c r="T653" s="996">
        <f t="shared" si="348"/>
        <v>99.999999999999986</v>
      </c>
      <c r="U653" s="996">
        <f t="shared" si="348"/>
        <v>102.08463205523236</v>
      </c>
      <c r="V653" s="996">
        <f t="shared" si="348"/>
        <v>119.99999999999999</v>
      </c>
      <c r="W653" s="996">
        <f t="shared" si="348"/>
        <v>119.99999999999999</v>
      </c>
      <c r="X653" s="996">
        <f t="shared" si="348"/>
        <v>129.55486290387606</v>
      </c>
      <c r="Y653" s="996">
        <f t="shared" si="348"/>
        <v>134.92947328730634</v>
      </c>
      <c r="Z653" s="996">
        <f t="shared" si="348"/>
        <v>134.92947328730634</v>
      </c>
      <c r="AA653" s="996">
        <f t="shared" si="348"/>
        <v>142.29101730571716</v>
      </c>
      <c r="AB653" s="996">
        <f t="shared" si="348"/>
        <v>142.29101730571716</v>
      </c>
      <c r="AC653" s="996">
        <f t="shared" si="348"/>
        <v>151.24870127810098</v>
      </c>
      <c r="AD653" s="996">
        <f t="shared" si="348"/>
        <v>151.24870127810098</v>
      </c>
      <c r="AE653" s="996">
        <f t="shared" si="348"/>
        <v>151.24870127810098</v>
      </c>
      <c r="AF653" s="996">
        <f t="shared" si="348"/>
        <v>151.24870127810098</v>
      </c>
    </row>
    <row r="654" spans="1:32" s="1010" customFormat="1" outlineLevel="4">
      <c r="A654" s="999"/>
      <c r="B654" s="999"/>
      <c r="C654" s="999"/>
      <c r="D654" s="1017">
        <f>+D650+1</f>
        <v>200</v>
      </c>
      <c r="E654" s="1014" t="s">
        <v>1746</v>
      </c>
      <c r="F654" s="988">
        <f>+'[11]7'!$P$303*0.5</f>
        <v>10153.79615</v>
      </c>
      <c r="G654" s="987">
        <v>2.0504153091094766E-3</v>
      </c>
      <c r="H654" s="986">
        <f>IF(H312=0,100,H312/H312*100)</f>
        <v>100</v>
      </c>
      <c r="I654" s="986">
        <f t="shared" ref="I654:AF654" si="349">IF(I312=0,100,I312/H312*H654)</f>
        <v>100</v>
      </c>
      <c r="J654" s="986">
        <f t="shared" si="349"/>
        <v>100</v>
      </c>
      <c r="K654" s="986">
        <f t="shared" si="349"/>
        <v>100</v>
      </c>
      <c r="L654" s="986">
        <f t="shared" si="349"/>
        <v>100</v>
      </c>
      <c r="M654" s="986">
        <f t="shared" si="349"/>
        <v>100</v>
      </c>
      <c r="N654" s="986">
        <f t="shared" si="349"/>
        <v>100</v>
      </c>
      <c r="O654" s="986">
        <f t="shared" si="349"/>
        <v>100</v>
      </c>
      <c r="P654" s="986">
        <f t="shared" si="349"/>
        <v>100</v>
      </c>
      <c r="Q654" s="986">
        <f t="shared" si="349"/>
        <v>100</v>
      </c>
      <c r="R654" s="986">
        <f t="shared" si="349"/>
        <v>100</v>
      </c>
      <c r="S654" s="986">
        <f t="shared" si="349"/>
        <v>100</v>
      </c>
      <c r="T654" s="986">
        <f t="shared" si="349"/>
        <v>100</v>
      </c>
      <c r="U654" s="986">
        <f t="shared" si="349"/>
        <v>100</v>
      </c>
      <c r="V654" s="986">
        <f t="shared" si="349"/>
        <v>120</v>
      </c>
      <c r="W654" s="986">
        <f t="shared" si="349"/>
        <v>120</v>
      </c>
      <c r="X654" s="986">
        <f t="shared" si="349"/>
        <v>133.33333333333334</v>
      </c>
      <c r="Y654" s="986">
        <f t="shared" si="349"/>
        <v>133.33333333333334</v>
      </c>
      <c r="Z654" s="986">
        <f t="shared" si="349"/>
        <v>133.33333333333334</v>
      </c>
      <c r="AA654" s="986">
        <f t="shared" si="349"/>
        <v>146.66666666666669</v>
      </c>
      <c r="AB654" s="986">
        <f t="shared" si="349"/>
        <v>146.66666666666669</v>
      </c>
      <c r="AC654" s="986">
        <f t="shared" si="349"/>
        <v>166.66666666666671</v>
      </c>
      <c r="AD654" s="986">
        <f t="shared" si="349"/>
        <v>166.66666666666671</v>
      </c>
      <c r="AE654" s="986">
        <f t="shared" si="349"/>
        <v>166.66666666666671</v>
      </c>
      <c r="AF654" s="986">
        <f t="shared" si="349"/>
        <v>166.66666666666671</v>
      </c>
    </row>
    <row r="655" spans="1:32" s="1010" customFormat="1" outlineLevel="4">
      <c r="A655" s="999"/>
      <c r="B655" s="999"/>
      <c r="C655" s="999"/>
      <c r="D655" s="1017">
        <f>+D654+1</f>
        <v>201</v>
      </c>
      <c r="E655" s="1014" t="s">
        <v>1745</v>
      </c>
      <c r="F655" s="988">
        <f>+'[11]7'!$P$303*0.5</f>
        <v>10153.79615</v>
      </c>
      <c r="G655" s="987">
        <v>2.0504153091094766E-3</v>
      </c>
      <c r="H655" s="986">
        <f>IF(H313=0,100,H313/H313*100)</f>
        <v>100</v>
      </c>
      <c r="I655" s="986">
        <f t="shared" ref="I655:AF655" si="350">IF(I313=0,100,I313/H313*H655)</f>
        <v>100</v>
      </c>
      <c r="J655" s="986">
        <f t="shared" si="350"/>
        <v>100</v>
      </c>
      <c r="K655" s="986">
        <f t="shared" si="350"/>
        <v>100</v>
      </c>
      <c r="L655" s="986">
        <f t="shared" si="350"/>
        <v>100</v>
      </c>
      <c r="M655" s="986">
        <f t="shared" si="350"/>
        <v>100</v>
      </c>
      <c r="N655" s="986">
        <f t="shared" si="350"/>
        <v>100</v>
      </c>
      <c r="O655" s="986">
        <f t="shared" si="350"/>
        <v>100</v>
      </c>
      <c r="P655" s="986">
        <f t="shared" si="350"/>
        <v>100</v>
      </c>
      <c r="Q655" s="986">
        <f t="shared" si="350"/>
        <v>100</v>
      </c>
      <c r="R655" s="986">
        <f t="shared" si="350"/>
        <v>100</v>
      </c>
      <c r="S655" s="986">
        <f t="shared" si="350"/>
        <v>100</v>
      </c>
      <c r="T655" s="986">
        <f t="shared" si="350"/>
        <v>100</v>
      </c>
      <c r="U655" s="986">
        <f t="shared" si="350"/>
        <v>100</v>
      </c>
      <c r="V655" s="986">
        <f t="shared" si="350"/>
        <v>120</v>
      </c>
      <c r="W655" s="986">
        <f t="shared" si="350"/>
        <v>120</v>
      </c>
      <c r="X655" s="986">
        <f t="shared" si="350"/>
        <v>128</v>
      </c>
      <c r="Y655" s="986">
        <f t="shared" si="350"/>
        <v>140</v>
      </c>
      <c r="Z655" s="986">
        <f t="shared" si="350"/>
        <v>140</v>
      </c>
      <c r="AA655" s="986">
        <f t="shared" si="350"/>
        <v>140</v>
      </c>
      <c r="AB655" s="986">
        <f t="shared" si="350"/>
        <v>140</v>
      </c>
      <c r="AC655" s="986">
        <f t="shared" si="350"/>
        <v>140</v>
      </c>
      <c r="AD655" s="986">
        <f t="shared" si="350"/>
        <v>140</v>
      </c>
      <c r="AE655" s="986">
        <f t="shared" si="350"/>
        <v>140</v>
      </c>
      <c r="AF655" s="986">
        <f t="shared" si="350"/>
        <v>140</v>
      </c>
    </row>
    <row r="656" spans="1:32" ht="14.25" customHeight="1" outlineLevel="4">
      <c r="A656" s="999"/>
      <c r="B656" s="999"/>
      <c r="C656" s="999"/>
      <c r="D656" s="1017">
        <f>+D655+1</f>
        <v>202</v>
      </c>
      <c r="E656" s="1014" t="s">
        <v>1744</v>
      </c>
      <c r="F656" s="988">
        <f>+'[11]7'!$P$304</f>
        <v>2362.9912600000002</v>
      </c>
      <c r="G656" s="987">
        <v>4.7717261438185284E-4</v>
      </c>
      <c r="H656" s="986">
        <f>IF(H314=0,100,H314/H314*100)</f>
        <v>100</v>
      </c>
      <c r="I656" s="986">
        <f t="shared" ref="I656:AF656" si="351">IF(I314=0,100,I314/H314*H656)</f>
        <v>100</v>
      </c>
      <c r="J656" s="986">
        <f t="shared" si="351"/>
        <v>100</v>
      </c>
      <c r="K656" s="986">
        <f t="shared" si="351"/>
        <v>100</v>
      </c>
      <c r="L656" s="986">
        <f t="shared" si="351"/>
        <v>100</v>
      </c>
      <c r="M656" s="986">
        <f t="shared" si="351"/>
        <v>100</v>
      </c>
      <c r="N656" s="986">
        <f t="shared" si="351"/>
        <v>100</v>
      </c>
      <c r="O656" s="986">
        <f t="shared" si="351"/>
        <v>100</v>
      </c>
      <c r="P656" s="986">
        <f t="shared" si="351"/>
        <v>100</v>
      </c>
      <c r="Q656" s="986">
        <f t="shared" si="351"/>
        <v>100</v>
      </c>
      <c r="R656" s="986">
        <f t="shared" si="351"/>
        <v>100</v>
      </c>
      <c r="S656" s="986">
        <f t="shared" si="351"/>
        <v>100</v>
      </c>
      <c r="T656" s="986">
        <f t="shared" si="351"/>
        <v>100</v>
      </c>
      <c r="U656" s="986">
        <f t="shared" si="351"/>
        <v>120</v>
      </c>
      <c r="V656" s="986">
        <f t="shared" si="351"/>
        <v>120</v>
      </c>
      <c r="W656" s="986">
        <f t="shared" si="351"/>
        <v>120</v>
      </c>
      <c r="X656" s="986">
        <f t="shared" si="351"/>
        <v>120</v>
      </c>
      <c r="Y656" s="986">
        <f t="shared" si="351"/>
        <v>120</v>
      </c>
      <c r="Z656" s="986">
        <f t="shared" si="351"/>
        <v>120</v>
      </c>
      <c r="AA656" s="986">
        <f t="shared" si="351"/>
        <v>133.33333333333334</v>
      </c>
      <c r="AB656" s="986">
        <f t="shared" si="351"/>
        <v>133.33333333333334</v>
      </c>
      <c r="AC656" s="986">
        <f t="shared" si="351"/>
        <v>133.33333333333334</v>
      </c>
      <c r="AD656" s="986">
        <f t="shared" si="351"/>
        <v>133.33333333333334</v>
      </c>
      <c r="AE656" s="986">
        <f t="shared" si="351"/>
        <v>133.33333333333334</v>
      </c>
      <c r="AF656" s="986">
        <f t="shared" si="351"/>
        <v>133.33333333333334</v>
      </c>
    </row>
    <row r="657" spans="1:32" s="1010" customFormat="1" ht="14.25" customHeight="1" outlineLevel="3">
      <c r="A657" s="999"/>
      <c r="B657" s="999"/>
      <c r="C657" s="1957" t="s">
        <v>1743</v>
      </c>
      <c r="D657" s="1957"/>
      <c r="E657" s="1957"/>
      <c r="F657" s="998">
        <f>SUM(F658:F664)</f>
        <v>155745.90127799998</v>
      </c>
      <c r="G657" s="997">
        <v>3.1450678701232776E-2</v>
      </c>
      <c r="H657" s="996">
        <f t="shared" ref="H657:AF657" si="352">+SUMPRODUCT(H658:H664,$G658:$G664)/$G657</f>
        <v>99.999999999999986</v>
      </c>
      <c r="I657" s="996">
        <f t="shared" si="352"/>
        <v>100.60195797975696</v>
      </c>
      <c r="J657" s="996">
        <f t="shared" si="352"/>
        <v>100.00000000000001</v>
      </c>
      <c r="K657" s="996">
        <f t="shared" si="352"/>
        <v>100.00000000000001</v>
      </c>
      <c r="L657" s="996">
        <f t="shared" si="352"/>
        <v>100.00000000000001</v>
      </c>
      <c r="M657" s="996">
        <f t="shared" si="352"/>
        <v>101.46666629690615</v>
      </c>
      <c r="N657" s="996">
        <f t="shared" si="352"/>
        <v>101.46666629690615</v>
      </c>
      <c r="O657" s="996">
        <f t="shared" si="352"/>
        <v>101.46666629690615</v>
      </c>
      <c r="P657" s="996">
        <f t="shared" si="352"/>
        <v>101.46666629690615</v>
      </c>
      <c r="Q657" s="996">
        <f t="shared" si="352"/>
        <v>101.46666629690615</v>
      </c>
      <c r="R657" s="996">
        <f t="shared" si="352"/>
        <v>101.46666629690615</v>
      </c>
      <c r="S657" s="996">
        <f t="shared" si="352"/>
        <v>102.34873776099984</v>
      </c>
      <c r="T657" s="996">
        <f t="shared" si="352"/>
        <v>102.34873776099984</v>
      </c>
      <c r="U657" s="996">
        <f t="shared" si="352"/>
        <v>103.01194938813796</v>
      </c>
      <c r="V657" s="996">
        <f t="shared" si="352"/>
        <v>103.81540405790599</v>
      </c>
      <c r="W657" s="996">
        <f t="shared" si="352"/>
        <v>105.14182731218223</v>
      </c>
      <c r="X657" s="996">
        <f t="shared" si="352"/>
        <v>105.72912302628146</v>
      </c>
      <c r="Y657" s="996">
        <f t="shared" si="352"/>
        <v>106.07193812207883</v>
      </c>
      <c r="Z657" s="996">
        <f t="shared" si="352"/>
        <v>108.43091451853516</v>
      </c>
      <c r="AA657" s="996">
        <f t="shared" si="352"/>
        <v>108.43091451853516</v>
      </c>
      <c r="AB657" s="996">
        <f t="shared" si="352"/>
        <v>109.01821023263439</v>
      </c>
      <c r="AC657" s="996">
        <f t="shared" si="352"/>
        <v>112.86470759440586</v>
      </c>
      <c r="AD657" s="996">
        <f t="shared" si="352"/>
        <v>112.42470770533403</v>
      </c>
      <c r="AE657" s="996">
        <f t="shared" si="352"/>
        <v>112.42470770533403</v>
      </c>
      <c r="AF657" s="996">
        <f t="shared" si="352"/>
        <v>113.36398861171276</v>
      </c>
    </row>
    <row r="658" spans="1:32" s="1010" customFormat="1" outlineLevel="4">
      <c r="A658" s="999"/>
      <c r="B658" s="999"/>
      <c r="C658" s="999"/>
      <c r="D658" s="1015">
        <f>+D656+1</f>
        <v>203</v>
      </c>
      <c r="E658" s="1014" t="s">
        <v>1742</v>
      </c>
      <c r="F658" s="988">
        <f>+'[11]7'!$P$311+'[13]7'!$P$312-30000</f>
        <v>44898.430099999998</v>
      </c>
      <c r="G658" s="987">
        <v>9.0666019951584041E-3</v>
      </c>
      <c r="H658" s="986">
        <f t="shared" ref="H658:H664" si="353">IF(H316=0,100,H316/H316*100)</f>
        <v>100</v>
      </c>
      <c r="I658" s="986">
        <f t="shared" ref="I658:AF658" si="354">IF(I316=0,100,I316/H316*H658)</f>
        <v>100</v>
      </c>
      <c r="J658" s="986">
        <f t="shared" si="354"/>
        <v>100</v>
      </c>
      <c r="K658" s="986">
        <f t="shared" si="354"/>
        <v>100</v>
      </c>
      <c r="L658" s="986">
        <f t="shared" si="354"/>
        <v>100</v>
      </c>
      <c r="M658" s="986">
        <f t="shared" si="354"/>
        <v>100</v>
      </c>
      <c r="N658" s="986">
        <f t="shared" si="354"/>
        <v>100</v>
      </c>
      <c r="O658" s="986">
        <f t="shared" si="354"/>
        <v>100</v>
      </c>
      <c r="P658" s="986">
        <f t="shared" si="354"/>
        <v>100</v>
      </c>
      <c r="Q658" s="986">
        <f t="shared" si="354"/>
        <v>100</v>
      </c>
      <c r="R658" s="986">
        <f t="shared" si="354"/>
        <v>100</v>
      </c>
      <c r="S658" s="986">
        <f t="shared" si="354"/>
        <v>100</v>
      </c>
      <c r="T658" s="986">
        <f t="shared" si="354"/>
        <v>100</v>
      </c>
      <c r="U658" s="986">
        <f t="shared" si="354"/>
        <v>100</v>
      </c>
      <c r="V658" s="986">
        <f t="shared" si="354"/>
        <v>100</v>
      </c>
      <c r="W658" s="986">
        <f t="shared" si="354"/>
        <v>100</v>
      </c>
      <c r="X658" s="986">
        <f t="shared" si="354"/>
        <v>100</v>
      </c>
      <c r="Y658" s="986">
        <f t="shared" si="354"/>
        <v>100</v>
      </c>
      <c r="Z658" s="986">
        <f t="shared" si="354"/>
        <v>105.88235294117648</v>
      </c>
      <c r="AA658" s="986">
        <f t="shared" si="354"/>
        <v>105.88235294117648</v>
      </c>
      <c r="AB658" s="986">
        <f t="shared" si="354"/>
        <v>105.88235294117648</v>
      </c>
      <c r="AC658" s="986">
        <f t="shared" si="354"/>
        <v>117.64705882352942</v>
      </c>
      <c r="AD658" s="986">
        <f t="shared" si="354"/>
        <v>117.64705882352942</v>
      </c>
      <c r="AE658" s="986">
        <f t="shared" si="354"/>
        <v>117.64705882352942</v>
      </c>
      <c r="AF658" s="986">
        <f t="shared" si="354"/>
        <v>117.64705882352942</v>
      </c>
    </row>
    <row r="659" spans="1:32" s="1010" customFormat="1" outlineLevel="4">
      <c r="A659" s="999"/>
      <c r="B659" s="999"/>
      <c r="C659" s="999"/>
      <c r="D659" s="1015">
        <v>204</v>
      </c>
      <c r="E659" s="1016" t="s">
        <v>1741</v>
      </c>
      <c r="F659" s="988">
        <f>+SUM('[13]7'!$P$305:$P$309)+5000</f>
        <v>8008.8069100000002</v>
      </c>
      <c r="G659" s="987">
        <v>1.6172651147783545E-3</v>
      </c>
      <c r="H659" s="986">
        <f t="shared" si="353"/>
        <v>100</v>
      </c>
      <c r="I659" s="986">
        <f t="shared" ref="I659:AF659" si="355">IF(I317=0,100,I317/H317*H659)</f>
        <v>100</v>
      </c>
      <c r="J659" s="986">
        <f t="shared" si="355"/>
        <v>100</v>
      </c>
      <c r="K659" s="986">
        <f t="shared" si="355"/>
        <v>100</v>
      </c>
      <c r="L659" s="986">
        <f t="shared" si="355"/>
        <v>100</v>
      </c>
      <c r="M659" s="986">
        <f t="shared" si="355"/>
        <v>100</v>
      </c>
      <c r="N659" s="986">
        <f t="shared" si="355"/>
        <v>100</v>
      </c>
      <c r="O659" s="986">
        <f t="shared" si="355"/>
        <v>100</v>
      </c>
      <c r="P659" s="986">
        <f t="shared" si="355"/>
        <v>100</v>
      </c>
      <c r="Q659" s="986">
        <f t="shared" si="355"/>
        <v>100</v>
      </c>
      <c r="R659" s="986">
        <f t="shared" si="355"/>
        <v>100</v>
      </c>
      <c r="S659" s="986">
        <f t="shared" si="355"/>
        <v>100</v>
      </c>
      <c r="T659" s="986">
        <f t="shared" si="355"/>
        <v>100</v>
      </c>
      <c r="U659" s="986">
        <f t="shared" si="355"/>
        <v>100</v>
      </c>
      <c r="V659" s="986">
        <f t="shared" si="355"/>
        <v>100</v>
      </c>
      <c r="W659" s="986">
        <f t="shared" si="355"/>
        <v>100</v>
      </c>
      <c r="X659" s="986">
        <f t="shared" si="355"/>
        <v>100</v>
      </c>
      <c r="Y659" s="986">
        <f t="shared" si="355"/>
        <v>106.66666666666667</v>
      </c>
      <c r="Z659" s="986">
        <f t="shared" si="355"/>
        <v>106.66666666666667</v>
      </c>
      <c r="AA659" s="986">
        <f t="shared" si="355"/>
        <v>106.66666666666667</v>
      </c>
      <c r="AB659" s="986">
        <f t="shared" si="355"/>
        <v>106.66666666666667</v>
      </c>
      <c r="AC659" s="986">
        <f t="shared" si="355"/>
        <v>106.66666666666667</v>
      </c>
      <c r="AD659" s="986">
        <f t="shared" si="355"/>
        <v>106.66666666666667</v>
      </c>
      <c r="AE659" s="986">
        <f t="shared" si="355"/>
        <v>106.66666666666667</v>
      </c>
      <c r="AF659" s="986">
        <f t="shared" si="355"/>
        <v>106.66666666666667</v>
      </c>
    </row>
    <row r="660" spans="1:32" s="1010" customFormat="1" outlineLevel="4">
      <c r="A660" s="999"/>
      <c r="B660" s="999"/>
      <c r="C660" s="999"/>
      <c r="D660" s="1015">
        <f>+D659+1</f>
        <v>205</v>
      </c>
      <c r="E660" s="1014" t="s">
        <v>1740</v>
      </c>
      <c r="F660" s="988">
        <f>+'[11]7'!$P$300</f>
        <v>19194.724000000002</v>
      </c>
      <c r="G660" s="987">
        <v>3.876102628250134E-3</v>
      </c>
      <c r="H660" s="986">
        <f t="shared" si="353"/>
        <v>100</v>
      </c>
      <c r="I660" s="986">
        <f t="shared" ref="I660:AF660" si="356">IF(I318=0,100,I318/H318*H660)</f>
        <v>100</v>
      </c>
      <c r="J660" s="986">
        <f t="shared" si="356"/>
        <v>100</v>
      </c>
      <c r="K660" s="986">
        <f t="shared" si="356"/>
        <v>100</v>
      </c>
      <c r="L660" s="986">
        <f t="shared" si="356"/>
        <v>100</v>
      </c>
      <c r="M660" s="986">
        <f t="shared" si="356"/>
        <v>100</v>
      </c>
      <c r="N660" s="986">
        <f t="shared" si="356"/>
        <v>100</v>
      </c>
      <c r="O660" s="986">
        <f t="shared" si="356"/>
        <v>100</v>
      </c>
      <c r="P660" s="986">
        <f t="shared" si="356"/>
        <v>100</v>
      </c>
      <c r="Q660" s="986">
        <f t="shared" si="356"/>
        <v>100</v>
      </c>
      <c r="R660" s="986">
        <f t="shared" si="356"/>
        <v>100</v>
      </c>
      <c r="S660" s="986">
        <f t="shared" si="356"/>
        <v>100</v>
      </c>
      <c r="T660" s="986">
        <f t="shared" si="356"/>
        <v>100</v>
      </c>
      <c r="U660" s="986">
        <f t="shared" si="356"/>
        <v>100</v>
      </c>
      <c r="V660" s="986">
        <f t="shared" si="356"/>
        <v>100</v>
      </c>
      <c r="W660" s="986">
        <f t="shared" si="356"/>
        <v>100</v>
      </c>
      <c r="X660" s="986">
        <f t="shared" si="356"/>
        <v>100</v>
      </c>
      <c r="Y660" s="986">
        <f t="shared" si="356"/>
        <v>100</v>
      </c>
      <c r="Z660" s="986">
        <f t="shared" si="356"/>
        <v>100</v>
      </c>
      <c r="AA660" s="986">
        <f t="shared" si="356"/>
        <v>100</v>
      </c>
      <c r="AB660" s="986">
        <f t="shared" si="356"/>
        <v>100</v>
      </c>
      <c r="AC660" s="986">
        <f t="shared" si="356"/>
        <v>91.666666666666657</v>
      </c>
      <c r="AD660" s="986">
        <f t="shared" si="356"/>
        <v>91.666666666666657</v>
      </c>
      <c r="AE660" s="986">
        <f t="shared" si="356"/>
        <v>91.666666666666657</v>
      </c>
      <c r="AF660" s="986">
        <f t="shared" si="356"/>
        <v>96.111111111111086</v>
      </c>
    </row>
    <row r="661" spans="1:32" s="1010" customFormat="1" outlineLevel="4">
      <c r="A661" s="999"/>
      <c r="B661" s="999"/>
      <c r="C661" s="999"/>
      <c r="D661" s="1015">
        <f>+D660+1</f>
        <v>206</v>
      </c>
      <c r="E661" s="1014" t="s">
        <v>1739</v>
      </c>
      <c r="F661" s="988">
        <f>+'[11]7'!$P$313</f>
        <v>24449.333000000002</v>
      </c>
      <c r="G661" s="987">
        <v>4.9371964869233198E-3</v>
      </c>
      <c r="H661" s="986">
        <f t="shared" si="353"/>
        <v>100</v>
      </c>
      <c r="I661" s="986">
        <f t="shared" ref="I661:AF661" si="357">IF(I319=0,100,I319/H319*H661)</f>
        <v>98.563582594000849</v>
      </c>
      <c r="J661" s="986">
        <f t="shared" si="357"/>
        <v>100</v>
      </c>
      <c r="K661" s="986">
        <f t="shared" si="357"/>
        <v>100</v>
      </c>
      <c r="L661" s="986">
        <f t="shared" si="357"/>
        <v>100</v>
      </c>
      <c r="M661" s="986">
        <f t="shared" si="357"/>
        <v>100</v>
      </c>
      <c r="N661" s="986">
        <f t="shared" si="357"/>
        <v>100</v>
      </c>
      <c r="O661" s="986">
        <f t="shared" si="357"/>
        <v>100</v>
      </c>
      <c r="P661" s="986">
        <f t="shared" si="357"/>
        <v>100</v>
      </c>
      <c r="Q661" s="986">
        <f t="shared" si="357"/>
        <v>100</v>
      </c>
      <c r="R661" s="986">
        <f t="shared" si="357"/>
        <v>100</v>
      </c>
      <c r="S661" s="986">
        <f t="shared" si="357"/>
        <v>105.61892691170259</v>
      </c>
      <c r="T661" s="986">
        <f t="shared" si="357"/>
        <v>105.61892691170259</v>
      </c>
      <c r="U661" s="986">
        <f t="shared" si="357"/>
        <v>109.8436839881707</v>
      </c>
      <c r="V661" s="986">
        <f t="shared" si="357"/>
        <v>105.6189269117026</v>
      </c>
      <c r="W661" s="986">
        <f t="shared" si="357"/>
        <v>114.06844106463882</v>
      </c>
      <c r="X661" s="986">
        <f t="shared" si="357"/>
        <v>114.06844106463882</v>
      </c>
      <c r="Y661" s="986">
        <f t="shared" si="357"/>
        <v>114.06844106463882</v>
      </c>
      <c r="Z661" s="986">
        <f t="shared" si="357"/>
        <v>118.29319814110691</v>
      </c>
      <c r="AA661" s="986">
        <f t="shared" si="357"/>
        <v>118.29319814110691</v>
      </c>
      <c r="AB661" s="986">
        <f t="shared" si="357"/>
        <v>118.29319814110691</v>
      </c>
      <c r="AC661" s="986">
        <f t="shared" si="357"/>
        <v>118.29319814110691</v>
      </c>
      <c r="AD661" s="986">
        <f t="shared" si="357"/>
        <v>118.29319814110691</v>
      </c>
      <c r="AE661" s="986">
        <f t="shared" si="357"/>
        <v>118.29319814110691</v>
      </c>
      <c r="AF661" s="986">
        <f t="shared" si="357"/>
        <v>118.29319814110691</v>
      </c>
    </row>
    <row r="662" spans="1:32" s="1010" customFormat="1" outlineLevel="4">
      <c r="A662" s="999"/>
      <c r="B662" s="999"/>
      <c r="C662" s="999"/>
      <c r="D662" s="1015">
        <f>+D661+1</f>
        <v>207</v>
      </c>
      <c r="E662" s="1014" t="s">
        <v>1738</v>
      </c>
      <c r="F662" s="988">
        <f>+'[11]7'!$P$299+'[13]7'!$P$298</f>
        <v>23081.540699999998</v>
      </c>
      <c r="G662" s="987">
        <v>4.6609902060239274E-3</v>
      </c>
      <c r="H662" s="986">
        <f t="shared" si="353"/>
        <v>100</v>
      </c>
      <c r="I662" s="986">
        <f t="shared" ref="I662:AF662" si="358">IF(I320=0,100,I320/H320*H662)</f>
        <v>105.58333333333334</v>
      </c>
      <c r="J662" s="986">
        <f t="shared" si="358"/>
        <v>100.00000000000001</v>
      </c>
      <c r="K662" s="986">
        <f t="shared" si="358"/>
        <v>100.00000000000001</v>
      </c>
      <c r="L662" s="986">
        <f t="shared" si="358"/>
        <v>100.00000000000001</v>
      </c>
      <c r="M662" s="986">
        <f t="shared" si="358"/>
        <v>100.00000000000001</v>
      </c>
      <c r="N662" s="986">
        <f t="shared" si="358"/>
        <v>100.00000000000001</v>
      </c>
      <c r="O662" s="986">
        <f t="shared" si="358"/>
        <v>100.00000000000001</v>
      </c>
      <c r="P662" s="986">
        <f t="shared" si="358"/>
        <v>100.00000000000001</v>
      </c>
      <c r="Q662" s="986">
        <f t="shared" si="358"/>
        <v>100.00000000000001</v>
      </c>
      <c r="R662" s="986">
        <f t="shared" si="358"/>
        <v>100.00000000000001</v>
      </c>
      <c r="S662" s="986">
        <f t="shared" si="358"/>
        <v>100.00000000000001</v>
      </c>
      <c r="T662" s="986">
        <f t="shared" si="358"/>
        <v>100.00000000000001</v>
      </c>
      <c r="U662" s="986">
        <f t="shared" si="358"/>
        <v>100.00000000000001</v>
      </c>
      <c r="V662" s="986">
        <f t="shared" si="358"/>
        <v>100.00000000000001</v>
      </c>
      <c r="W662" s="986">
        <f t="shared" si="358"/>
        <v>100.00000000000001</v>
      </c>
      <c r="X662" s="986">
        <f t="shared" si="358"/>
        <v>100.00000000000001</v>
      </c>
      <c r="Y662" s="986">
        <f t="shared" si="358"/>
        <v>100.00000000000001</v>
      </c>
      <c r="Z662" s="986">
        <f t="shared" si="358"/>
        <v>100.00000000000001</v>
      </c>
      <c r="AA662" s="986">
        <f t="shared" si="358"/>
        <v>100.00000000000001</v>
      </c>
      <c r="AB662" s="986">
        <f t="shared" si="358"/>
        <v>100.00000000000001</v>
      </c>
      <c r="AC662" s="986">
        <f t="shared" si="358"/>
        <v>110.00000000000003</v>
      </c>
      <c r="AD662" s="986">
        <f t="shared" si="358"/>
        <v>110.00000000000003</v>
      </c>
      <c r="AE662" s="986">
        <f t="shared" si="358"/>
        <v>110.00000000000003</v>
      </c>
      <c r="AF662" s="986">
        <f t="shared" si="358"/>
        <v>110.00000000000003</v>
      </c>
    </row>
    <row r="663" spans="1:32" outlineLevel="4">
      <c r="A663" s="999"/>
      <c r="B663" s="999"/>
      <c r="C663" s="999"/>
      <c r="D663" s="1015">
        <f>+D662+1</f>
        <v>208</v>
      </c>
      <c r="E663" s="1014" t="s">
        <v>1737</v>
      </c>
      <c r="F663" s="988">
        <f>+'[11]7'!$P$301</f>
        <v>15989.9085</v>
      </c>
      <c r="G663" s="987">
        <v>3.2289355326145432E-3</v>
      </c>
      <c r="H663" s="986">
        <f t="shared" si="353"/>
        <v>100</v>
      </c>
      <c r="I663" s="986">
        <f t="shared" ref="I663:AF663" si="359">IF(I321=0,100,I321/H321*H663)</f>
        <v>100</v>
      </c>
      <c r="J663" s="986">
        <f t="shared" si="359"/>
        <v>100</v>
      </c>
      <c r="K663" s="986">
        <f t="shared" si="359"/>
        <v>100</v>
      </c>
      <c r="L663" s="986">
        <f t="shared" si="359"/>
        <v>100</v>
      </c>
      <c r="M663" s="986">
        <f t="shared" si="359"/>
        <v>114.28571428571428</v>
      </c>
      <c r="N663" s="986">
        <f t="shared" si="359"/>
        <v>114.28571428571428</v>
      </c>
      <c r="O663" s="986">
        <f t="shared" si="359"/>
        <v>114.28571428571428</v>
      </c>
      <c r="P663" s="986">
        <f t="shared" si="359"/>
        <v>114.28571428571428</v>
      </c>
      <c r="Q663" s="986">
        <f t="shared" si="359"/>
        <v>114.28571428571428</v>
      </c>
      <c r="R663" s="986">
        <f t="shared" si="359"/>
        <v>114.28571428571428</v>
      </c>
      <c r="S663" s="986">
        <f t="shared" si="359"/>
        <v>114.28571428571428</v>
      </c>
      <c r="T663" s="986">
        <f t="shared" si="359"/>
        <v>114.28571428571428</v>
      </c>
      <c r="U663" s="986">
        <f t="shared" si="359"/>
        <v>114.28571428571428</v>
      </c>
      <c r="V663" s="986">
        <f t="shared" si="359"/>
        <v>128.57142857142856</v>
      </c>
      <c r="W663" s="986">
        <f t="shared" si="359"/>
        <v>128.57142857142856</v>
      </c>
      <c r="X663" s="986">
        <f t="shared" si="359"/>
        <v>128.57142857142856</v>
      </c>
      <c r="Y663" s="986">
        <f t="shared" si="359"/>
        <v>128.57142857142856</v>
      </c>
      <c r="Z663" s="986">
        <f t="shared" si="359"/>
        <v>128.57142857142856</v>
      </c>
      <c r="AA663" s="986">
        <f t="shared" si="359"/>
        <v>128.57142857142856</v>
      </c>
      <c r="AB663" s="986">
        <f t="shared" si="359"/>
        <v>128.57142857142856</v>
      </c>
      <c r="AC663" s="986">
        <f t="shared" si="359"/>
        <v>128.57142857142856</v>
      </c>
      <c r="AD663" s="986">
        <f t="shared" si="359"/>
        <v>124.28571428571428</v>
      </c>
      <c r="AE663" s="986">
        <f t="shared" si="359"/>
        <v>124.28571428571428</v>
      </c>
      <c r="AF663" s="986">
        <f t="shared" si="359"/>
        <v>124.28571428571428</v>
      </c>
    </row>
    <row r="664" spans="1:32" ht="25.5" outlineLevel="4">
      <c r="A664" s="999"/>
      <c r="B664" s="999"/>
      <c r="C664" s="999"/>
      <c r="D664" s="1013">
        <f>+D663+1</f>
        <v>209</v>
      </c>
      <c r="E664" s="1012" t="s">
        <v>1736</v>
      </c>
      <c r="F664" s="988">
        <f>+'[11]7'!$P$302+'[13]7'!$P$310</f>
        <v>20123.158068000001</v>
      </c>
      <c r="G664" s="987">
        <v>4.0635867374840965E-3</v>
      </c>
      <c r="H664" s="986">
        <f t="shared" si="353"/>
        <v>100</v>
      </c>
      <c r="I664" s="986">
        <f t="shared" ref="I664:AF664" si="360">IF(I322=0,100,I322/H322*H664)</f>
        <v>100</v>
      </c>
      <c r="J664" s="986">
        <f t="shared" si="360"/>
        <v>100</v>
      </c>
      <c r="K664" s="986">
        <f t="shared" si="360"/>
        <v>100</v>
      </c>
      <c r="L664" s="986">
        <f t="shared" si="360"/>
        <v>100</v>
      </c>
      <c r="M664" s="986">
        <f t="shared" si="360"/>
        <v>100</v>
      </c>
      <c r="N664" s="986">
        <f t="shared" si="360"/>
        <v>100</v>
      </c>
      <c r="O664" s="986">
        <f t="shared" si="360"/>
        <v>100</v>
      </c>
      <c r="P664" s="986">
        <f t="shared" si="360"/>
        <v>100</v>
      </c>
      <c r="Q664" s="986">
        <f t="shared" si="360"/>
        <v>100</v>
      </c>
      <c r="R664" s="986">
        <f t="shared" si="360"/>
        <v>100</v>
      </c>
      <c r="S664" s="986">
        <f t="shared" si="360"/>
        <v>100</v>
      </c>
      <c r="T664" s="986">
        <f t="shared" si="360"/>
        <v>100</v>
      </c>
      <c r="U664" s="986">
        <f t="shared" si="360"/>
        <v>100</v>
      </c>
      <c r="V664" s="986">
        <f t="shared" si="360"/>
        <v>100</v>
      </c>
      <c r="W664" s="986">
        <f t="shared" si="360"/>
        <v>100</v>
      </c>
      <c r="X664" s="986">
        <f t="shared" si="360"/>
        <v>104.54545454545455</v>
      </c>
      <c r="Y664" s="986">
        <f t="shared" si="360"/>
        <v>104.54545454545455</v>
      </c>
      <c r="Z664" s="986">
        <f t="shared" si="360"/>
        <v>104.54545454545455</v>
      </c>
      <c r="AA664" s="986">
        <f t="shared" si="360"/>
        <v>104.54545454545455</v>
      </c>
      <c r="AB664" s="986">
        <f t="shared" si="360"/>
        <v>109.09090909090909</v>
      </c>
      <c r="AC664" s="986">
        <f t="shared" si="360"/>
        <v>109.09090909090909</v>
      </c>
      <c r="AD664" s="986">
        <f t="shared" si="360"/>
        <v>109.09090909090909</v>
      </c>
      <c r="AE664" s="986">
        <f t="shared" si="360"/>
        <v>109.09090909090909</v>
      </c>
      <c r="AF664" s="986">
        <f t="shared" si="360"/>
        <v>112.12121212121211</v>
      </c>
    </row>
    <row r="665" spans="1:32" s="1010" customFormat="1" outlineLevel="2">
      <c r="A665" s="991"/>
      <c r="B665" s="1961" t="s">
        <v>1735</v>
      </c>
      <c r="C665" s="1961"/>
      <c r="D665" s="1961"/>
      <c r="E665" s="1961"/>
      <c r="F665" s="1002">
        <f>+F666+F669</f>
        <v>21400.803763</v>
      </c>
      <c r="G665" s="1001">
        <v>4.3215891883847694E-3</v>
      </c>
      <c r="H665" s="1000">
        <f t="shared" ref="H665:AF665" si="361">+($G$666*H666+$G$669*H669)/$G$665</f>
        <v>99.999999999999986</v>
      </c>
      <c r="I665" s="1000">
        <f t="shared" si="361"/>
        <v>100.6439713032504</v>
      </c>
      <c r="J665" s="1000">
        <f t="shared" si="361"/>
        <v>100.6439713032504</v>
      </c>
      <c r="K665" s="1000">
        <f t="shared" si="361"/>
        <v>100.6439713032504</v>
      </c>
      <c r="L665" s="1000">
        <f t="shared" si="361"/>
        <v>100.6439713032504</v>
      </c>
      <c r="M665" s="1000">
        <f t="shared" si="361"/>
        <v>100.6439713032504</v>
      </c>
      <c r="N665" s="1000">
        <f t="shared" si="361"/>
        <v>100.6439713032504</v>
      </c>
      <c r="O665" s="1000">
        <f t="shared" si="361"/>
        <v>100.6439713032504</v>
      </c>
      <c r="P665" s="1000">
        <f t="shared" si="361"/>
        <v>100.6439713032504</v>
      </c>
      <c r="Q665" s="1000">
        <f t="shared" si="361"/>
        <v>105.8291346853777</v>
      </c>
      <c r="R665" s="1000">
        <f t="shared" si="361"/>
        <v>105.8291346853777</v>
      </c>
      <c r="S665" s="1000">
        <f t="shared" si="361"/>
        <v>106.28911418769941</v>
      </c>
      <c r="T665" s="1000">
        <f t="shared" si="361"/>
        <v>106.28911418769941</v>
      </c>
      <c r="U665" s="1000">
        <f t="shared" si="361"/>
        <v>106.28911418769941</v>
      </c>
      <c r="V665" s="1000">
        <f t="shared" si="361"/>
        <v>113.44817404378048</v>
      </c>
      <c r="W665" s="1000">
        <f t="shared" si="361"/>
        <v>129.00366419016243</v>
      </c>
      <c r="X665" s="1000">
        <f t="shared" si="361"/>
        <v>130.80190441923111</v>
      </c>
      <c r="Y665" s="1000">
        <f t="shared" si="361"/>
        <v>131.68018564365639</v>
      </c>
      <c r="Z665" s="1000">
        <f t="shared" si="361"/>
        <v>131.68018564365639</v>
      </c>
      <c r="AA665" s="1000">
        <f t="shared" si="361"/>
        <v>131.68018564365639</v>
      </c>
      <c r="AB665" s="1000">
        <f t="shared" si="361"/>
        <v>152.69682687355868</v>
      </c>
      <c r="AC665" s="1000">
        <f t="shared" si="361"/>
        <v>152.69682687355868</v>
      </c>
      <c r="AD665" s="1000">
        <f t="shared" si="361"/>
        <v>153.3199592867</v>
      </c>
      <c r="AE665" s="1000">
        <f t="shared" si="361"/>
        <v>153.3199592867</v>
      </c>
      <c r="AF665" s="1000">
        <f t="shared" si="361"/>
        <v>153.3199592867</v>
      </c>
    </row>
    <row r="666" spans="1:32" s="1010" customFormat="1" outlineLevel="3">
      <c r="A666" s="991"/>
      <c r="B666" s="991"/>
      <c r="C666" s="1965" t="s">
        <v>1734</v>
      </c>
      <c r="D666" s="1965"/>
      <c r="E666" s="1965"/>
      <c r="F666" s="1009">
        <f>SUM(F667:F668)</f>
        <v>4755.8041599999997</v>
      </c>
      <c r="G666" s="1008">
        <v>9.6036728655326945E-4</v>
      </c>
      <c r="H666" s="1007">
        <f t="shared" ref="H666:AF666" si="362">+SUMPRODUCT(H667:H668,$G667:$G668)/$G666</f>
        <v>100</v>
      </c>
      <c r="I666" s="1007">
        <f t="shared" si="362"/>
        <v>102.89782821710322</v>
      </c>
      <c r="J666" s="1007">
        <f t="shared" si="362"/>
        <v>102.89782821710322</v>
      </c>
      <c r="K666" s="1007">
        <f t="shared" si="362"/>
        <v>102.89782821710322</v>
      </c>
      <c r="L666" s="1007">
        <f t="shared" si="362"/>
        <v>102.89782821710322</v>
      </c>
      <c r="M666" s="1007">
        <f t="shared" si="362"/>
        <v>102.89782821710322</v>
      </c>
      <c r="N666" s="1007">
        <f t="shared" si="362"/>
        <v>102.89782821710322</v>
      </c>
      <c r="O666" s="1007">
        <f t="shared" si="362"/>
        <v>102.89782821710322</v>
      </c>
      <c r="P666" s="1007">
        <f t="shared" si="362"/>
        <v>102.89782821710322</v>
      </c>
      <c r="Q666" s="1007">
        <f t="shared" si="362"/>
        <v>102.89782821710322</v>
      </c>
      <c r="R666" s="1007">
        <f t="shared" si="362"/>
        <v>102.89782821710322</v>
      </c>
      <c r="S666" s="1007">
        <f t="shared" si="362"/>
        <v>104.96770551503408</v>
      </c>
      <c r="T666" s="1007">
        <f t="shared" si="362"/>
        <v>104.96770551503408</v>
      </c>
      <c r="U666" s="1007">
        <f t="shared" si="362"/>
        <v>104.96770551503408</v>
      </c>
      <c r="V666" s="1007">
        <f t="shared" si="362"/>
        <v>113.85010892492598</v>
      </c>
      <c r="W666" s="1007">
        <f t="shared" si="362"/>
        <v>113.85010892492598</v>
      </c>
      <c r="X666" s="1007">
        <f t="shared" si="362"/>
        <v>121.94207086581284</v>
      </c>
      <c r="Y666" s="1007">
        <f t="shared" si="362"/>
        <v>125.89427821083798</v>
      </c>
      <c r="Z666" s="1007">
        <f t="shared" si="362"/>
        <v>125.89427821083798</v>
      </c>
      <c r="AA666" s="1007">
        <f t="shared" si="362"/>
        <v>125.89427821083798</v>
      </c>
      <c r="AB666" s="1007">
        <f t="shared" si="362"/>
        <v>127.13620458959649</v>
      </c>
      <c r="AC666" s="1007">
        <f t="shared" si="362"/>
        <v>127.13620458959649</v>
      </c>
      <c r="AD666" s="1007">
        <f t="shared" si="362"/>
        <v>129.94025918128139</v>
      </c>
      <c r="AE666" s="1007">
        <f t="shared" si="362"/>
        <v>129.94025918128139</v>
      </c>
      <c r="AF666" s="1007">
        <f t="shared" si="362"/>
        <v>129.94025918128139</v>
      </c>
    </row>
    <row r="667" spans="1:32" outlineLevel="4">
      <c r="A667" s="991"/>
      <c r="B667" s="991"/>
      <c r="C667" s="991"/>
      <c r="D667" s="1006">
        <f>+D664+1</f>
        <v>210</v>
      </c>
      <c r="E667" s="989" t="s">
        <v>1733</v>
      </c>
      <c r="F667" s="1005">
        <f>+'[11]7'!$P$314*0.5+'[11]7'!$P$316*0.5+2515.72</f>
        <v>2913.8035949999999</v>
      </c>
      <c r="G667" s="1004">
        <v>5.8840136345717647E-4</v>
      </c>
      <c r="H667" s="1003">
        <f>IF(H325=0,100,H325/H325*100)</f>
        <v>100</v>
      </c>
      <c r="I667" s="1003">
        <f t="shared" ref="I667:AF667" si="363">IF(I325=0,100,I325/H325*H667)</f>
        <v>104.72972972972974</v>
      </c>
      <c r="J667" s="1003">
        <f t="shared" si="363"/>
        <v>104.72972972972974</v>
      </c>
      <c r="K667" s="1003">
        <f t="shared" si="363"/>
        <v>104.72972972972974</v>
      </c>
      <c r="L667" s="1003">
        <f t="shared" si="363"/>
        <v>104.72972972972974</v>
      </c>
      <c r="M667" s="1003">
        <f t="shared" si="363"/>
        <v>104.72972972972974</v>
      </c>
      <c r="N667" s="1003">
        <f t="shared" si="363"/>
        <v>104.72972972972974</v>
      </c>
      <c r="O667" s="1003">
        <f t="shared" si="363"/>
        <v>104.72972972972974</v>
      </c>
      <c r="P667" s="1003">
        <f t="shared" si="363"/>
        <v>104.72972972972974</v>
      </c>
      <c r="Q667" s="1003">
        <f t="shared" si="363"/>
        <v>104.72972972972974</v>
      </c>
      <c r="R667" s="1003">
        <f t="shared" si="363"/>
        <v>104.72972972972974</v>
      </c>
      <c r="S667" s="1003">
        <f t="shared" si="363"/>
        <v>108.10810810810811</v>
      </c>
      <c r="T667" s="1003">
        <f t="shared" si="363"/>
        <v>108.10810810810811</v>
      </c>
      <c r="U667" s="1003">
        <f t="shared" si="363"/>
        <v>108.10810810810811</v>
      </c>
      <c r="V667" s="1003">
        <f t="shared" si="363"/>
        <v>114.86486486486487</v>
      </c>
      <c r="W667" s="1003">
        <f t="shared" si="363"/>
        <v>114.86486486486487</v>
      </c>
      <c r="X667" s="1003">
        <f t="shared" si="363"/>
        <v>121.62162162162163</v>
      </c>
      <c r="Y667" s="1003">
        <f t="shared" si="363"/>
        <v>121.62162162162163</v>
      </c>
      <c r="Z667" s="1003">
        <f t="shared" si="363"/>
        <v>121.62162162162163</v>
      </c>
      <c r="AA667" s="1003">
        <f t="shared" si="363"/>
        <v>121.62162162162163</v>
      </c>
      <c r="AB667" s="1003">
        <f t="shared" si="363"/>
        <v>123.64864864864865</v>
      </c>
      <c r="AC667" s="1003">
        <f t="shared" si="363"/>
        <v>123.64864864864865</v>
      </c>
      <c r="AD667" s="1003">
        <f t="shared" si="363"/>
        <v>125</v>
      </c>
      <c r="AE667" s="1003">
        <f t="shared" si="363"/>
        <v>125</v>
      </c>
      <c r="AF667" s="1003">
        <f t="shared" si="363"/>
        <v>125</v>
      </c>
    </row>
    <row r="668" spans="1:32" s="1010" customFormat="1" outlineLevel="4">
      <c r="A668" s="991"/>
      <c r="B668" s="991"/>
      <c r="C668" s="991"/>
      <c r="D668" s="1006">
        <f>+D667+1</f>
        <v>211</v>
      </c>
      <c r="E668" s="1011" t="s">
        <v>1732</v>
      </c>
      <c r="F668" s="1005">
        <f>+'[11]7'!$P$314*0.5+'[11]7'!$P$316*0.5+'[13]7'!$P$317+'[13]7'!$P$315</f>
        <v>1842.0005649999998</v>
      </c>
      <c r="G668" s="1004">
        <v>3.7196592309609298E-4</v>
      </c>
      <c r="H668" s="1003">
        <f>IF(H326=0,100,H326/H326*100)</f>
        <v>100</v>
      </c>
      <c r="I668" s="1003">
        <f t="shared" ref="I668:AF668" si="364">IF(I326=0,100,I326/H326*H668)</f>
        <v>100</v>
      </c>
      <c r="J668" s="1003">
        <f t="shared" si="364"/>
        <v>100</v>
      </c>
      <c r="K668" s="1003">
        <f t="shared" si="364"/>
        <v>100</v>
      </c>
      <c r="L668" s="1003">
        <f t="shared" si="364"/>
        <v>100</v>
      </c>
      <c r="M668" s="1003">
        <f t="shared" si="364"/>
        <v>100</v>
      </c>
      <c r="N668" s="1003">
        <f t="shared" si="364"/>
        <v>100</v>
      </c>
      <c r="O668" s="1003">
        <f t="shared" si="364"/>
        <v>100</v>
      </c>
      <c r="P668" s="1003">
        <f t="shared" si="364"/>
        <v>100</v>
      </c>
      <c r="Q668" s="1003">
        <f t="shared" si="364"/>
        <v>100</v>
      </c>
      <c r="R668" s="1003">
        <f t="shared" si="364"/>
        <v>100</v>
      </c>
      <c r="S668" s="1003">
        <f t="shared" si="364"/>
        <v>100</v>
      </c>
      <c r="T668" s="1003">
        <f t="shared" si="364"/>
        <v>100</v>
      </c>
      <c r="U668" s="1003">
        <f t="shared" si="364"/>
        <v>100</v>
      </c>
      <c r="V668" s="1003">
        <f t="shared" si="364"/>
        <v>112.24489795918366</v>
      </c>
      <c r="W668" s="1003">
        <f t="shared" si="364"/>
        <v>112.24489795918366</v>
      </c>
      <c r="X668" s="1003">
        <f t="shared" si="364"/>
        <v>122.44897959183672</v>
      </c>
      <c r="Y668" s="1003">
        <f t="shared" si="364"/>
        <v>132.65306122448976</v>
      </c>
      <c r="Z668" s="1003">
        <f t="shared" si="364"/>
        <v>132.65306122448976</v>
      </c>
      <c r="AA668" s="1003">
        <f t="shared" si="364"/>
        <v>132.65306122448976</v>
      </c>
      <c r="AB668" s="1003">
        <f t="shared" si="364"/>
        <v>132.65306122448976</v>
      </c>
      <c r="AC668" s="1003">
        <f t="shared" si="364"/>
        <v>132.65306122448976</v>
      </c>
      <c r="AD668" s="1003">
        <f t="shared" si="364"/>
        <v>137.7551020408163</v>
      </c>
      <c r="AE668" s="1003">
        <f t="shared" si="364"/>
        <v>137.7551020408163</v>
      </c>
      <c r="AF668" s="1003">
        <f t="shared" si="364"/>
        <v>137.7551020408163</v>
      </c>
    </row>
    <row r="669" spans="1:32" outlineLevel="3">
      <c r="A669" s="991"/>
      <c r="B669" s="991"/>
      <c r="C669" s="1965" t="s">
        <v>1731</v>
      </c>
      <c r="D669" s="1965"/>
      <c r="E669" s="1965"/>
      <c r="F669" s="1009">
        <f>SUM(F670)</f>
        <v>16644.999603</v>
      </c>
      <c r="G669" s="1008">
        <v>3.3612219018314998E-3</v>
      </c>
      <c r="H669" s="1007">
        <f t="shared" ref="H669:AF669" si="365">+SUMPRODUCT(H670,$G670)/$G669</f>
        <v>100</v>
      </c>
      <c r="I669" s="1007">
        <f t="shared" si="365"/>
        <v>100</v>
      </c>
      <c r="J669" s="1007">
        <f t="shared" si="365"/>
        <v>100</v>
      </c>
      <c r="K669" s="1007">
        <f t="shared" si="365"/>
        <v>100</v>
      </c>
      <c r="L669" s="1007">
        <f t="shared" si="365"/>
        <v>100</v>
      </c>
      <c r="M669" s="1007">
        <f t="shared" si="365"/>
        <v>100</v>
      </c>
      <c r="N669" s="1007">
        <f t="shared" si="365"/>
        <v>100</v>
      </c>
      <c r="O669" s="1007">
        <f t="shared" si="365"/>
        <v>100</v>
      </c>
      <c r="P669" s="1007">
        <f t="shared" si="365"/>
        <v>100</v>
      </c>
      <c r="Q669" s="1007">
        <f t="shared" si="365"/>
        <v>106.66666666666667</v>
      </c>
      <c r="R669" s="1007">
        <f t="shared" si="365"/>
        <v>106.66666666666667</v>
      </c>
      <c r="S669" s="1007">
        <f t="shared" si="365"/>
        <v>106.66666666666667</v>
      </c>
      <c r="T669" s="1007">
        <f t="shared" si="365"/>
        <v>106.66666666666667</v>
      </c>
      <c r="U669" s="1007">
        <f t="shared" si="365"/>
        <v>106.66666666666667</v>
      </c>
      <c r="V669" s="1007">
        <f t="shared" si="365"/>
        <v>113.33333333333336</v>
      </c>
      <c r="W669" s="1007">
        <f t="shared" si="365"/>
        <v>133.33333333333334</v>
      </c>
      <c r="X669" s="1007">
        <f t="shared" si="365"/>
        <v>133.33333333333334</v>
      </c>
      <c r="Y669" s="1007">
        <f t="shared" si="365"/>
        <v>133.33333333333334</v>
      </c>
      <c r="Z669" s="1007">
        <f t="shared" si="365"/>
        <v>133.33333333333334</v>
      </c>
      <c r="AA669" s="1007">
        <f t="shared" si="365"/>
        <v>133.33333333333334</v>
      </c>
      <c r="AB669" s="1007">
        <f t="shared" si="365"/>
        <v>160</v>
      </c>
      <c r="AC669" s="1007">
        <f t="shared" si="365"/>
        <v>160</v>
      </c>
      <c r="AD669" s="1007">
        <f t="shared" si="365"/>
        <v>160</v>
      </c>
      <c r="AE669" s="1007">
        <f t="shared" si="365"/>
        <v>160</v>
      </c>
      <c r="AF669" s="1007">
        <f t="shared" si="365"/>
        <v>160</v>
      </c>
    </row>
    <row r="670" spans="1:32" ht="25.5" outlineLevel="4">
      <c r="A670" s="991"/>
      <c r="B670" s="991"/>
      <c r="C670" s="991"/>
      <c r="D670" s="1006">
        <f>D668+1</f>
        <v>212</v>
      </c>
      <c r="E670" s="989" t="s">
        <v>1730</v>
      </c>
      <c r="F670" s="1005">
        <f>+SUM('[11]7'!$P$318,'[11]7'!$P$320:$P$321,'[11]7'!$P$319)+'[13]7'!$P$322+'[13]7'!$P$323+'[13]7'!$P$325</f>
        <v>16644.999603</v>
      </c>
      <c r="G670" s="1004">
        <v>3.3612219018314998E-3</v>
      </c>
      <c r="H670" s="1003">
        <f>IF(H328=0,100,H328/H328*100)</f>
        <v>100</v>
      </c>
      <c r="I670" s="1003">
        <f t="shared" ref="I670:AF670" si="366">IF(I328=0,100,I328/H328*H670)</f>
        <v>100</v>
      </c>
      <c r="J670" s="1003">
        <f t="shared" si="366"/>
        <v>100</v>
      </c>
      <c r="K670" s="1003">
        <f t="shared" si="366"/>
        <v>100</v>
      </c>
      <c r="L670" s="1003">
        <f t="shared" si="366"/>
        <v>100</v>
      </c>
      <c r="M670" s="1003">
        <f t="shared" si="366"/>
        <v>100</v>
      </c>
      <c r="N670" s="1003">
        <f t="shared" si="366"/>
        <v>100</v>
      </c>
      <c r="O670" s="1003">
        <f t="shared" si="366"/>
        <v>100</v>
      </c>
      <c r="P670" s="1003">
        <f t="shared" si="366"/>
        <v>100</v>
      </c>
      <c r="Q670" s="1003">
        <f t="shared" si="366"/>
        <v>106.66666666666667</v>
      </c>
      <c r="R670" s="1003">
        <f t="shared" si="366"/>
        <v>106.66666666666667</v>
      </c>
      <c r="S670" s="1003">
        <f t="shared" si="366"/>
        <v>106.66666666666667</v>
      </c>
      <c r="T670" s="1003">
        <f t="shared" si="366"/>
        <v>106.66666666666667</v>
      </c>
      <c r="U670" s="1003">
        <f t="shared" si="366"/>
        <v>106.66666666666667</v>
      </c>
      <c r="V670" s="1003">
        <f t="shared" si="366"/>
        <v>113.33333333333334</v>
      </c>
      <c r="W670" s="1003">
        <f t="shared" si="366"/>
        <v>133.33333333333334</v>
      </c>
      <c r="X670" s="1003">
        <f t="shared" si="366"/>
        <v>133.33333333333334</v>
      </c>
      <c r="Y670" s="1003">
        <f t="shared" si="366"/>
        <v>133.33333333333334</v>
      </c>
      <c r="Z670" s="1003">
        <f t="shared" si="366"/>
        <v>133.33333333333334</v>
      </c>
      <c r="AA670" s="1003">
        <f t="shared" si="366"/>
        <v>133.33333333333334</v>
      </c>
      <c r="AB670" s="1003">
        <f t="shared" si="366"/>
        <v>160</v>
      </c>
      <c r="AC670" s="1003">
        <f t="shared" si="366"/>
        <v>160</v>
      </c>
      <c r="AD670" s="1003">
        <f t="shared" si="366"/>
        <v>160</v>
      </c>
      <c r="AE670" s="1003">
        <f t="shared" si="366"/>
        <v>160</v>
      </c>
      <c r="AF670" s="1003">
        <f t="shared" si="366"/>
        <v>160</v>
      </c>
    </row>
    <row r="671" spans="1:32" outlineLevel="2">
      <c r="A671" s="991"/>
      <c r="B671" s="1961" t="s">
        <v>1729</v>
      </c>
      <c r="C671" s="1961"/>
      <c r="D671" s="1961"/>
      <c r="E671" s="1961"/>
      <c r="F671" s="1002">
        <f>+F672</f>
        <v>93548.513697000002</v>
      </c>
      <c r="G671" s="1001">
        <v>1.889079727376311E-2</v>
      </c>
      <c r="H671" s="1000">
        <f t="shared" ref="H671:AF671" si="367">+$G$672*H672/$G$671</f>
        <v>100</v>
      </c>
      <c r="I671" s="1000">
        <f t="shared" si="367"/>
        <v>100</v>
      </c>
      <c r="J671" s="1000">
        <f t="shared" si="367"/>
        <v>100</v>
      </c>
      <c r="K671" s="1000">
        <f t="shared" si="367"/>
        <v>100</v>
      </c>
      <c r="L671" s="1000">
        <f t="shared" si="367"/>
        <v>100</v>
      </c>
      <c r="M671" s="1000">
        <f t="shared" si="367"/>
        <v>100</v>
      </c>
      <c r="N671" s="1000">
        <f t="shared" si="367"/>
        <v>100</v>
      </c>
      <c r="O671" s="1000">
        <f t="shared" si="367"/>
        <v>100</v>
      </c>
      <c r="P671" s="1000">
        <f t="shared" si="367"/>
        <v>100</v>
      </c>
      <c r="Q671" s="1000">
        <f t="shared" si="367"/>
        <v>100</v>
      </c>
      <c r="R671" s="1000">
        <f t="shared" si="367"/>
        <v>100</v>
      </c>
      <c r="S671" s="1000">
        <f t="shared" si="367"/>
        <v>100</v>
      </c>
      <c r="T671" s="1000">
        <f t="shared" si="367"/>
        <v>100</v>
      </c>
      <c r="U671" s="1000">
        <f t="shared" si="367"/>
        <v>100</v>
      </c>
      <c r="V671" s="1000">
        <f t="shared" si="367"/>
        <v>100</v>
      </c>
      <c r="W671" s="1000">
        <f t="shared" si="367"/>
        <v>100</v>
      </c>
      <c r="X671" s="1000">
        <f t="shared" si="367"/>
        <v>100</v>
      </c>
      <c r="Y671" s="1000">
        <f t="shared" si="367"/>
        <v>100</v>
      </c>
      <c r="Z671" s="1000">
        <f t="shared" si="367"/>
        <v>100</v>
      </c>
      <c r="AA671" s="1000">
        <f t="shared" si="367"/>
        <v>100</v>
      </c>
      <c r="AB671" s="1000">
        <f t="shared" si="367"/>
        <v>100</v>
      </c>
      <c r="AC671" s="1000">
        <f t="shared" si="367"/>
        <v>100</v>
      </c>
      <c r="AD671" s="1000">
        <f t="shared" si="367"/>
        <v>100</v>
      </c>
      <c r="AE671" s="1000">
        <f t="shared" si="367"/>
        <v>100</v>
      </c>
      <c r="AF671" s="1000">
        <f t="shared" si="367"/>
        <v>100</v>
      </c>
    </row>
    <row r="672" spans="1:32" outlineLevel="3">
      <c r="A672" s="999"/>
      <c r="B672" s="999"/>
      <c r="C672" s="1956" t="s">
        <v>1728</v>
      </c>
      <c r="D672" s="1956"/>
      <c r="E672" s="1956"/>
      <c r="F672" s="998">
        <f>SUM(F673)</f>
        <v>93548.513697000002</v>
      </c>
      <c r="G672" s="997">
        <v>1.889079727376311E-2</v>
      </c>
      <c r="H672" s="996">
        <f t="shared" ref="H672:AF672" si="368">+SUMPRODUCT(H673,$G673)/$G672</f>
        <v>100</v>
      </c>
      <c r="I672" s="996">
        <f t="shared" si="368"/>
        <v>100</v>
      </c>
      <c r="J672" s="996">
        <f t="shared" si="368"/>
        <v>100</v>
      </c>
      <c r="K672" s="996">
        <f t="shared" si="368"/>
        <v>100</v>
      </c>
      <c r="L672" s="996">
        <f t="shared" si="368"/>
        <v>100</v>
      </c>
      <c r="M672" s="996">
        <f t="shared" si="368"/>
        <v>100</v>
      </c>
      <c r="N672" s="996">
        <f t="shared" si="368"/>
        <v>100</v>
      </c>
      <c r="O672" s="996">
        <f t="shared" si="368"/>
        <v>100</v>
      </c>
      <c r="P672" s="996">
        <f t="shared" si="368"/>
        <v>100</v>
      </c>
      <c r="Q672" s="996">
        <f t="shared" si="368"/>
        <v>100</v>
      </c>
      <c r="R672" s="996">
        <f t="shared" si="368"/>
        <v>100</v>
      </c>
      <c r="S672" s="996">
        <f t="shared" si="368"/>
        <v>100</v>
      </c>
      <c r="T672" s="996">
        <f t="shared" si="368"/>
        <v>100</v>
      </c>
      <c r="U672" s="996">
        <f t="shared" si="368"/>
        <v>100</v>
      </c>
      <c r="V672" s="996">
        <f t="shared" si="368"/>
        <v>100</v>
      </c>
      <c r="W672" s="996">
        <f t="shared" si="368"/>
        <v>100</v>
      </c>
      <c r="X672" s="996">
        <f t="shared" si="368"/>
        <v>100</v>
      </c>
      <c r="Y672" s="996">
        <f t="shared" si="368"/>
        <v>100</v>
      </c>
      <c r="Z672" s="996">
        <f t="shared" si="368"/>
        <v>100</v>
      </c>
      <c r="AA672" s="996">
        <f t="shared" si="368"/>
        <v>100</v>
      </c>
      <c r="AB672" s="996">
        <f t="shared" si="368"/>
        <v>100</v>
      </c>
      <c r="AC672" s="996">
        <f t="shared" si="368"/>
        <v>100</v>
      </c>
      <c r="AD672" s="996">
        <f t="shared" si="368"/>
        <v>100</v>
      </c>
      <c r="AE672" s="996">
        <f t="shared" si="368"/>
        <v>100</v>
      </c>
      <c r="AF672" s="996">
        <f t="shared" si="368"/>
        <v>100</v>
      </c>
    </row>
    <row r="673" spans="1:66" ht="25.5" outlineLevel="4">
      <c r="A673" s="995"/>
      <c r="B673" s="995"/>
      <c r="C673" s="995"/>
      <c r="D673" s="994">
        <f>+D670+1</f>
        <v>213</v>
      </c>
      <c r="E673" s="993" t="s">
        <v>1727</v>
      </c>
      <c r="F673" s="988">
        <f>+'[11]7'!$P$333+SUM('[13]7'!$P$334:$P$336,'[13]7'!$P$338)+'[13]7'!$P$332</f>
        <v>93548.513697000002</v>
      </c>
      <c r="G673" s="987">
        <v>1.889079727376311E-2</v>
      </c>
      <c r="H673" s="986">
        <f>IF(H331=0,100,H331/H331*100)</f>
        <v>100</v>
      </c>
      <c r="I673" s="986">
        <f t="shared" ref="I673:AF673" si="369">IF(I331=0,100,I331/H331*H673)</f>
        <v>100</v>
      </c>
      <c r="J673" s="986">
        <f t="shared" si="369"/>
        <v>100</v>
      </c>
      <c r="K673" s="986">
        <f t="shared" si="369"/>
        <v>100</v>
      </c>
      <c r="L673" s="986">
        <f t="shared" si="369"/>
        <v>100</v>
      </c>
      <c r="M673" s="986">
        <f t="shared" si="369"/>
        <v>100</v>
      </c>
      <c r="N673" s="986">
        <f t="shared" si="369"/>
        <v>100</v>
      </c>
      <c r="O673" s="986">
        <f t="shared" si="369"/>
        <v>100</v>
      </c>
      <c r="P673" s="986">
        <f t="shared" si="369"/>
        <v>100</v>
      </c>
      <c r="Q673" s="986">
        <f t="shared" si="369"/>
        <v>100</v>
      </c>
      <c r="R673" s="986">
        <f t="shared" si="369"/>
        <v>100</v>
      </c>
      <c r="S673" s="986">
        <f t="shared" si="369"/>
        <v>100</v>
      </c>
      <c r="T673" s="986">
        <f t="shared" si="369"/>
        <v>100</v>
      </c>
      <c r="U673" s="986">
        <f t="shared" si="369"/>
        <v>100</v>
      </c>
      <c r="V673" s="986">
        <f t="shared" si="369"/>
        <v>100</v>
      </c>
      <c r="W673" s="986">
        <f t="shared" si="369"/>
        <v>100</v>
      </c>
      <c r="X673" s="986">
        <f t="shared" si="369"/>
        <v>100</v>
      </c>
      <c r="Y673" s="986">
        <f t="shared" si="369"/>
        <v>100</v>
      </c>
      <c r="Z673" s="986">
        <f t="shared" si="369"/>
        <v>100</v>
      </c>
      <c r="AA673" s="986">
        <f t="shared" si="369"/>
        <v>100</v>
      </c>
      <c r="AB673" s="986">
        <f t="shared" si="369"/>
        <v>100</v>
      </c>
      <c r="AC673" s="986">
        <f t="shared" si="369"/>
        <v>100</v>
      </c>
      <c r="AD673" s="986">
        <f t="shared" si="369"/>
        <v>100</v>
      </c>
      <c r="AE673" s="986">
        <f t="shared" si="369"/>
        <v>100</v>
      </c>
      <c r="AF673" s="986">
        <f t="shared" si="369"/>
        <v>100</v>
      </c>
    </row>
    <row r="674" spans="1:66" outlineLevel="4">
      <c r="A674" s="991"/>
      <c r="B674" s="991"/>
      <c r="C674" s="991"/>
      <c r="D674" s="990"/>
      <c r="E674" s="989"/>
      <c r="F674" s="988"/>
      <c r="G674" s="987"/>
      <c r="H674" s="986"/>
      <c r="I674" s="986"/>
      <c r="J674" s="986"/>
      <c r="K674" s="986"/>
      <c r="L674" s="986"/>
      <c r="M674" s="986"/>
      <c r="N674" s="986"/>
      <c r="O674" s="986"/>
      <c r="P674" s="986"/>
      <c r="Q674" s="986"/>
      <c r="R674" s="986"/>
      <c r="S674" s="986"/>
      <c r="T674" s="986"/>
      <c r="U674" s="986"/>
      <c r="V674" s="986"/>
      <c r="W674" s="986"/>
      <c r="Y674" s="992"/>
      <c r="AC674" s="983"/>
      <c r="AD674" s="983"/>
    </row>
    <row r="675" spans="1:66" outlineLevel="4">
      <c r="A675" s="991"/>
      <c r="B675" s="991"/>
      <c r="C675" s="991"/>
      <c r="D675" s="990"/>
      <c r="E675" s="989"/>
      <c r="F675" s="988"/>
      <c r="G675" s="987"/>
      <c r="H675" s="986"/>
      <c r="I675" s="986"/>
      <c r="J675" s="986"/>
      <c r="K675" s="986"/>
      <c r="L675" s="986"/>
      <c r="M675" s="986"/>
      <c r="N675" s="986"/>
      <c r="O675" s="986"/>
      <c r="P675" s="986"/>
      <c r="Q675" s="986"/>
      <c r="R675" s="986"/>
      <c r="S675" s="986"/>
      <c r="T675" s="986"/>
      <c r="U675" s="986"/>
      <c r="V675" s="986"/>
      <c r="W675" s="986"/>
      <c r="AC675" s="983"/>
      <c r="AD675" s="983"/>
    </row>
    <row r="676" spans="1:66">
      <c r="A676" s="985" t="s">
        <v>1726</v>
      </c>
      <c r="B676" s="758"/>
      <c r="C676" s="758"/>
      <c r="D676" s="758"/>
      <c r="E676" s="758"/>
      <c r="F676" s="758"/>
      <c r="G676" s="933">
        <v>1</v>
      </c>
      <c r="H676" s="758"/>
      <c r="I676" s="758"/>
      <c r="J676" s="758"/>
      <c r="K676" s="758"/>
      <c r="L676" s="758"/>
      <c r="M676" s="758"/>
      <c r="N676" s="758"/>
      <c r="O676" s="758"/>
      <c r="P676" s="758"/>
      <c r="Q676" s="758"/>
      <c r="R676" s="758"/>
      <c r="S676" s="758"/>
      <c r="T676" s="758"/>
      <c r="U676" s="758"/>
      <c r="V676" s="984"/>
      <c r="W676" s="984"/>
      <c r="X676" s="758"/>
      <c r="Y676" s="758"/>
      <c r="Z676" s="758"/>
      <c r="AC676" s="983"/>
      <c r="AD676" s="983"/>
    </row>
    <row r="677" spans="1:66" ht="16.5" thickBot="1">
      <c r="A677" s="973"/>
      <c r="B677" s="973"/>
      <c r="C677" s="973"/>
      <c r="D677" s="973"/>
      <c r="E677" s="982" t="s">
        <v>1725</v>
      </c>
      <c r="F677" s="758"/>
      <c r="G677" s="933"/>
      <c r="H677" s="758"/>
      <c r="I677" s="758"/>
      <c r="J677" s="758"/>
      <c r="K677" s="758"/>
      <c r="L677" s="758"/>
      <c r="M677" s="758"/>
      <c r="N677" s="758"/>
      <c r="O677" s="758"/>
      <c r="P677" s="758"/>
      <c r="Q677" s="758"/>
      <c r="R677" s="758"/>
      <c r="S677" s="758"/>
      <c r="T677" s="758"/>
      <c r="U677" s="758"/>
      <c r="V677" s="758"/>
      <c r="W677" s="758"/>
      <c r="X677" s="758"/>
      <c r="Y677" s="758"/>
      <c r="Z677" s="758"/>
    </row>
    <row r="678" spans="1:66">
      <c r="A678" s="981"/>
      <c r="B678" s="1953" t="s">
        <v>1724</v>
      </c>
      <c r="C678" s="1953"/>
      <c r="D678" s="1953"/>
      <c r="E678" s="1953"/>
      <c r="F678" s="980"/>
      <c r="G678" s="933"/>
      <c r="H678" s="758" t="s">
        <v>1722</v>
      </c>
      <c r="I678" s="758" t="s">
        <v>1699</v>
      </c>
      <c r="J678" s="758" t="s">
        <v>1701</v>
      </c>
      <c r="K678" s="758" t="s">
        <v>1704</v>
      </c>
      <c r="L678" s="758" t="s">
        <v>1706</v>
      </c>
      <c r="M678" s="758" t="s">
        <v>1708</v>
      </c>
      <c r="N678" s="758" t="s">
        <v>1710</v>
      </c>
      <c r="O678" s="758" t="s">
        <v>1712</v>
      </c>
      <c r="P678" s="758" t="s">
        <v>1714</v>
      </c>
      <c r="Q678" s="758" t="s">
        <v>1716</v>
      </c>
      <c r="R678" s="758" t="s">
        <v>1718</v>
      </c>
      <c r="S678" s="758" t="s">
        <v>1720</v>
      </c>
      <c r="T678" s="758" t="s">
        <v>1700</v>
      </c>
      <c r="U678" s="758" t="s">
        <v>1702</v>
      </c>
      <c r="V678" s="978" t="s">
        <v>1703</v>
      </c>
      <c r="W678" s="978" t="s">
        <v>1705</v>
      </c>
      <c r="X678" s="978" t="s">
        <v>1707</v>
      </c>
      <c r="Y678" s="978" t="s">
        <v>1709</v>
      </c>
      <c r="Z678" s="978" t="s">
        <v>1711</v>
      </c>
      <c r="AA678" s="978" t="s">
        <v>1713</v>
      </c>
      <c r="AB678" s="978" t="s">
        <v>1715</v>
      </c>
      <c r="AC678" s="978" t="s">
        <v>1717</v>
      </c>
      <c r="AD678" s="978" t="s">
        <v>1719</v>
      </c>
      <c r="AE678" s="978" t="s">
        <v>1721</v>
      </c>
      <c r="AF678" s="979" t="s">
        <v>1723</v>
      </c>
      <c r="AG678" s="979" t="s">
        <v>1723</v>
      </c>
      <c r="AH678" s="979" t="s">
        <v>1723</v>
      </c>
      <c r="AI678" s="978" t="s">
        <v>1721</v>
      </c>
      <c r="AJ678" s="978" t="s">
        <v>1721</v>
      </c>
      <c r="AK678" s="978" t="s">
        <v>1721</v>
      </c>
      <c r="AL678" s="978" t="s">
        <v>1719</v>
      </c>
      <c r="AM678" s="978" t="s">
        <v>1719</v>
      </c>
      <c r="AN678" s="978" t="s">
        <v>1719</v>
      </c>
      <c r="AO678" s="978" t="s">
        <v>1717</v>
      </c>
      <c r="AP678" s="978" t="s">
        <v>1717</v>
      </c>
      <c r="AQ678" s="978" t="s">
        <v>1717</v>
      </c>
      <c r="AR678" s="978" t="s">
        <v>1715</v>
      </c>
      <c r="AS678" s="978" t="s">
        <v>1715</v>
      </c>
      <c r="AT678" s="978" t="s">
        <v>1715</v>
      </c>
      <c r="AU678" s="978" t="s">
        <v>1713</v>
      </c>
      <c r="AV678" s="978" t="s">
        <v>1713</v>
      </c>
      <c r="AW678" s="978" t="s">
        <v>1713</v>
      </c>
      <c r="AX678" s="978" t="s">
        <v>1711</v>
      </c>
      <c r="AY678" s="978" t="s">
        <v>1711</v>
      </c>
      <c r="AZ678" s="978" t="s">
        <v>1711</v>
      </c>
      <c r="BA678" s="978" t="s">
        <v>1709</v>
      </c>
      <c r="BB678" s="978" t="s">
        <v>1709</v>
      </c>
      <c r="BC678" s="978" t="s">
        <v>1709</v>
      </c>
      <c r="BD678" s="978" t="s">
        <v>1707</v>
      </c>
      <c r="BE678" s="978" t="s">
        <v>1707</v>
      </c>
      <c r="BF678" s="978" t="s">
        <v>1707</v>
      </c>
      <c r="BG678" s="978" t="s">
        <v>1705</v>
      </c>
      <c r="BH678" s="978" t="s">
        <v>1705</v>
      </c>
      <c r="BI678" s="978" t="s">
        <v>1705</v>
      </c>
      <c r="BJ678" s="978" t="s">
        <v>1703</v>
      </c>
      <c r="BK678" s="978" t="s">
        <v>1703</v>
      </c>
      <c r="BL678" s="978" t="s">
        <v>1703</v>
      </c>
      <c r="BM678" s="978" t="s">
        <v>1702</v>
      </c>
      <c r="BN678" s="758" t="s">
        <v>1702</v>
      </c>
    </row>
    <row r="679" spans="1:66" ht="15" thickBot="1">
      <c r="A679" s="977"/>
      <c r="B679" s="977"/>
      <c r="C679" s="977"/>
      <c r="D679" s="977"/>
      <c r="E679" s="977"/>
      <c r="F679" s="976"/>
      <c r="G679" s="933"/>
      <c r="H679" s="973" t="s">
        <v>1722</v>
      </c>
      <c r="I679" s="973" t="s">
        <v>1722</v>
      </c>
      <c r="J679" s="973" t="s">
        <v>1722</v>
      </c>
      <c r="K679" s="973" t="s">
        <v>1722</v>
      </c>
      <c r="L679" s="973" t="s">
        <v>1722</v>
      </c>
      <c r="M679" s="973" t="s">
        <v>1722</v>
      </c>
      <c r="N679" s="973" t="s">
        <v>1722</v>
      </c>
      <c r="O679" s="973" t="s">
        <v>1722</v>
      </c>
      <c r="P679" s="973" t="s">
        <v>1722</v>
      </c>
      <c r="Q679" s="973" t="s">
        <v>1722</v>
      </c>
      <c r="R679" s="973" t="s">
        <v>1722</v>
      </c>
      <c r="S679" s="973" t="s">
        <v>1722</v>
      </c>
      <c r="T679" s="973" t="s">
        <v>1722</v>
      </c>
      <c r="U679" s="973" t="s">
        <v>1722</v>
      </c>
      <c r="V679" s="974" t="s">
        <v>1722</v>
      </c>
      <c r="W679" s="974" t="s">
        <v>1722</v>
      </c>
      <c r="X679" s="974" t="s">
        <v>1722</v>
      </c>
      <c r="Y679" s="974" t="s">
        <v>1722</v>
      </c>
      <c r="Z679" s="974" t="s">
        <v>1722</v>
      </c>
      <c r="AA679" s="974" t="s">
        <v>1722</v>
      </c>
      <c r="AB679" s="974" t="s">
        <v>1722</v>
      </c>
      <c r="AC679" s="974" t="s">
        <v>1722</v>
      </c>
      <c r="AD679" s="974" t="s">
        <v>1722</v>
      </c>
      <c r="AE679" s="974" t="s">
        <v>1722</v>
      </c>
      <c r="AF679" s="975" t="s">
        <v>1722</v>
      </c>
      <c r="AG679" s="975" t="s">
        <v>1700</v>
      </c>
      <c r="AH679" s="975" t="s">
        <v>1721</v>
      </c>
      <c r="AI679" s="974" t="s">
        <v>1720</v>
      </c>
      <c r="AJ679" s="974" t="s">
        <v>1700</v>
      </c>
      <c r="AK679" s="974" t="s">
        <v>1719</v>
      </c>
      <c r="AL679" s="974" t="s">
        <v>1718</v>
      </c>
      <c r="AM679" s="974" t="s">
        <v>1700</v>
      </c>
      <c r="AN679" s="974" t="s">
        <v>1717</v>
      </c>
      <c r="AO679" s="974" t="s">
        <v>1716</v>
      </c>
      <c r="AP679" s="974" t="s">
        <v>1700</v>
      </c>
      <c r="AQ679" s="974" t="s">
        <v>1715</v>
      </c>
      <c r="AR679" s="974" t="s">
        <v>1714</v>
      </c>
      <c r="AS679" s="974" t="s">
        <v>1700</v>
      </c>
      <c r="AT679" s="974" t="s">
        <v>1713</v>
      </c>
      <c r="AU679" s="974" t="s">
        <v>1712</v>
      </c>
      <c r="AV679" s="974" t="s">
        <v>1700</v>
      </c>
      <c r="AW679" s="974" t="s">
        <v>1711</v>
      </c>
      <c r="AX679" s="974" t="s">
        <v>1710</v>
      </c>
      <c r="AY679" s="974" t="s">
        <v>1700</v>
      </c>
      <c r="AZ679" s="974" t="s">
        <v>1709</v>
      </c>
      <c r="BA679" s="974" t="s">
        <v>1708</v>
      </c>
      <c r="BB679" s="974" t="s">
        <v>1700</v>
      </c>
      <c r="BC679" s="974" t="s">
        <v>1707</v>
      </c>
      <c r="BD679" s="974" t="s">
        <v>1706</v>
      </c>
      <c r="BE679" s="974" t="s">
        <v>1700</v>
      </c>
      <c r="BF679" s="974" t="s">
        <v>1705</v>
      </c>
      <c r="BG679" s="974" t="s">
        <v>1704</v>
      </c>
      <c r="BH679" s="974" t="s">
        <v>1700</v>
      </c>
      <c r="BI679" s="974" t="s">
        <v>1703</v>
      </c>
      <c r="BJ679" s="974" t="s">
        <v>1702</v>
      </c>
      <c r="BK679" s="974" t="s">
        <v>1701</v>
      </c>
      <c r="BL679" s="974" t="s">
        <v>1700</v>
      </c>
      <c r="BM679" s="974" t="s">
        <v>1700</v>
      </c>
      <c r="BN679" s="973" t="s">
        <v>1699</v>
      </c>
    </row>
    <row r="680" spans="1:66">
      <c r="A680" s="758"/>
      <c r="B680" s="972" t="s">
        <v>1698</v>
      </c>
      <c r="C680" s="758"/>
      <c r="D680" s="758"/>
      <c r="E680" s="758"/>
      <c r="F680" s="758"/>
      <c r="G680" s="933"/>
      <c r="H680" s="971">
        <f t="shared" ref="H680:AF680" si="370">+H346</f>
        <v>100</v>
      </c>
      <c r="I680" s="971">
        <f t="shared" si="370"/>
        <v>104.51732532283317</v>
      </c>
      <c r="J680" s="971">
        <f t="shared" si="370"/>
        <v>104.32882626704105</v>
      </c>
      <c r="K680" s="971">
        <f t="shared" si="370"/>
        <v>102.61133920823147</v>
      </c>
      <c r="L680" s="971">
        <f t="shared" si="370"/>
        <v>104.5560046441656</v>
      </c>
      <c r="M680" s="971">
        <f t="shared" si="370"/>
        <v>104.46668453152513</v>
      </c>
      <c r="N680" s="971">
        <f t="shared" si="370"/>
        <v>104.13302809686054</v>
      </c>
      <c r="O680" s="971">
        <f t="shared" si="370"/>
        <v>104.88673340649824</v>
      </c>
      <c r="P680" s="971">
        <f t="shared" si="370"/>
        <v>103.01893424734703</v>
      </c>
      <c r="Q680" s="971">
        <f t="shared" si="370"/>
        <v>105.31825928944599</v>
      </c>
      <c r="R680" s="971">
        <f t="shared" si="370"/>
        <v>106.66789792745675</v>
      </c>
      <c r="S680" s="971">
        <f t="shared" si="370"/>
        <v>108.60974424802967</v>
      </c>
      <c r="T680" s="971">
        <f t="shared" si="370"/>
        <v>110.43389581203704</v>
      </c>
      <c r="U680" s="971">
        <f t="shared" si="370"/>
        <v>113.93785371272499</v>
      </c>
      <c r="V680" s="971">
        <f t="shared" si="370"/>
        <v>117.64267496890392</v>
      </c>
      <c r="W680" s="971">
        <f t="shared" si="370"/>
        <v>121.96763133887279</v>
      </c>
      <c r="X680" s="971">
        <f t="shared" si="370"/>
        <v>123.47399697184052</v>
      </c>
      <c r="Y680" s="971">
        <f t="shared" si="370"/>
        <v>124.08878688727287</v>
      </c>
      <c r="Z680" s="971">
        <f t="shared" si="370"/>
        <v>124.62725596994014</v>
      </c>
      <c r="AA680" s="971">
        <f t="shared" si="370"/>
        <v>124.90156055513278</v>
      </c>
      <c r="AB680" s="971">
        <f t="shared" si="370"/>
        <v>122.53538116836992</v>
      </c>
      <c r="AC680" s="971">
        <f t="shared" si="370"/>
        <v>122.69514140192194</v>
      </c>
      <c r="AD680" s="971">
        <f t="shared" si="370"/>
        <v>123.45861069808231</v>
      </c>
      <c r="AE680" s="971">
        <f t="shared" si="370"/>
        <v>126.6706465973289</v>
      </c>
      <c r="AF680" s="971">
        <f t="shared" si="370"/>
        <v>128.82858148807804</v>
      </c>
      <c r="AG680" s="971">
        <f t="shared" ref="AG680:AG711" si="371">+AF680/T680*100</f>
        <v>116.65673889414307</v>
      </c>
      <c r="AH680" s="971">
        <f t="shared" ref="AH680:AH711" si="372">+AF680/AE680*100</f>
        <v>101.70357928116447</v>
      </c>
      <c r="AI680" s="971">
        <f t="shared" ref="AI680:AI711" si="373">+AE680/S680*100</f>
        <v>116.6291730768226</v>
      </c>
      <c r="AJ680" s="971">
        <f t="shared" ref="AJ680:AJ711" si="374">+AE680/T680*100</f>
        <v>114.7026876720237</v>
      </c>
      <c r="AK680" s="971">
        <f t="shared" ref="AK680:AK711" si="375">+AE680/AD680*100</f>
        <v>102.60171071186083</v>
      </c>
      <c r="AL680" s="971">
        <f t="shared" ref="AL680:AL711" si="376">+AD680/R680*100</f>
        <v>115.74111152171076</v>
      </c>
      <c r="AM680" s="971">
        <f t="shared" ref="AM680:AM711" si="377">+AD680/T680*100</f>
        <v>111.79412787194782</v>
      </c>
      <c r="AN680" s="971">
        <f t="shared" ref="AN680:AN711" si="378">+AD680/AC680*100</f>
        <v>100.62224900467689</v>
      </c>
      <c r="AO680" s="971">
        <f t="shared" ref="AO680:AO711" si="379">+AC680/Q680*100</f>
        <v>116.49940117669348</v>
      </c>
      <c r="AP680" s="971">
        <f t="shared" ref="AP680:AP711" si="380">+AC680/T680*100</f>
        <v>111.10279185545899</v>
      </c>
      <c r="AQ680" s="971">
        <f t="shared" ref="AQ680:AQ711" si="381">+AC680/AB680*100</f>
        <v>100.13037886039828</v>
      </c>
      <c r="AR680" s="971">
        <f t="shared" ref="AR680:AR711" si="382">+AB680/P680*100</f>
        <v>118.94452419218797</v>
      </c>
      <c r="AS680" s="971">
        <f t="shared" ref="AS680:AS711" si="383">+AB680/T680*100</f>
        <v>110.95812591537123</v>
      </c>
      <c r="AT680" s="971">
        <f t="shared" ref="AT680:AT711" si="384">+AB680/AA680*100</f>
        <v>98.105564593231492</v>
      </c>
      <c r="AU680" s="971">
        <f t="shared" ref="AU680:AU711" si="385">+AA680/O680*100</f>
        <v>119.08232480752854</v>
      </c>
      <c r="AV680" s="971">
        <f t="shared" ref="AV680:AV711" si="386">+AA680/T680*100</f>
        <v>113.1007465024328</v>
      </c>
      <c r="AW680" s="971">
        <f t="shared" ref="AW680:AW711" si="387">+AA680/Z680*100</f>
        <v>100.22009999582981</v>
      </c>
      <c r="AX680" s="971">
        <f t="shared" ref="AX680:AX711" si="388">+Z680/N680*100</f>
        <v>119.68081428883126</v>
      </c>
      <c r="AY680" s="971">
        <f t="shared" ref="AY680:AY711" si="389">+Z680/T680*100</f>
        <v>112.85235846615498</v>
      </c>
      <c r="AZ680" s="971">
        <f t="shared" ref="AZ680:AZ711" si="390">+Z680/Y680*100</f>
        <v>100.43393855010963</v>
      </c>
      <c r="BA680" s="971">
        <f t="shared" ref="BA680:BA711" si="391">+Y680/M680*100</f>
        <v>118.7831196555552</v>
      </c>
      <c r="BB680" s="971">
        <f t="shared" ref="BB680:BB711" si="392">+Y680/T680*100</f>
        <v>112.36476443652501</v>
      </c>
      <c r="BC680" s="971">
        <f t="shared" ref="BC680:BC711" si="393">+Y680/X680*100</f>
        <v>100.49791043499836</v>
      </c>
      <c r="BD680" s="971">
        <f t="shared" ref="BD680:BD711" si="394">+X680/L680*100</f>
        <v>118.09364502025335</v>
      </c>
      <c r="BE680" s="971">
        <f t="shared" ref="BE680:BE711" si="395">+X680/T680*100</f>
        <v>111.80806043644269</v>
      </c>
      <c r="BF680" s="971">
        <f t="shared" ref="BF680:BF711" si="396">+X680/W680*100</f>
        <v>101.2350536092502</v>
      </c>
      <c r="BG680" s="971">
        <f t="shared" ref="BG680:BG711" si="397">+W680/K680*100</f>
        <v>118.86369701438275</v>
      </c>
      <c r="BH680" s="971">
        <f t="shared" ref="BH680:BH711" si="398">+W680/T680*100</f>
        <v>110.44401761074032</v>
      </c>
      <c r="BI680" s="971">
        <f t="shared" ref="BI680:BI711" si="399">+W680/V680*100</f>
        <v>103.67634990543363</v>
      </c>
      <c r="BJ680" s="971">
        <f t="shared" ref="BJ680:BJ711" si="400">+V680/U680*100</f>
        <v>103.25161580234786</v>
      </c>
      <c r="BK680" s="971">
        <f t="shared" ref="BK680:BK711" si="401">+V680/J680*100</f>
        <v>112.76142862739069</v>
      </c>
      <c r="BL680" s="971">
        <f t="shared" ref="BL680:BL711" si="402">+V680/T680*100</f>
        <v>106.52768708724767</v>
      </c>
      <c r="BM680" s="971">
        <v>103.17346601097222</v>
      </c>
      <c r="BN680" s="971">
        <v>109.06129293685601</v>
      </c>
    </row>
    <row r="681" spans="1:66">
      <c r="A681" s="937" t="s">
        <v>1697</v>
      </c>
      <c r="B681" s="937"/>
      <c r="C681" s="758"/>
      <c r="D681" s="758"/>
      <c r="E681" s="758"/>
      <c r="F681" s="969"/>
      <c r="G681" s="933"/>
      <c r="H681" s="939">
        <f t="shared" ref="H681:AF681" si="403">+H347</f>
        <v>100.00000000000003</v>
      </c>
      <c r="I681" s="939">
        <f t="shared" si="403"/>
        <v>113.69943964971942</v>
      </c>
      <c r="J681" s="939">
        <f t="shared" si="403"/>
        <v>113.81297138093211</v>
      </c>
      <c r="K681" s="939">
        <f t="shared" si="403"/>
        <v>108.26727217563877</v>
      </c>
      <c r="L681" s="939">
        <f t="shared" si="403"/>
        <v>113.80796053516862</v>
      </c>
      <c r="M681" s="939">
        <f t="shared" si="403"/>
        <v>112.66822718314117</v>
      </c>
      <c r="N681" s="939">
        <f t="shared" si="403"/>
        <v>109.6724204905973</v>
      </c>
      <c r="O681" s="939">
        <f t="shared" si="403"/>
        <v>111.24198286588337</v>
      </c>
      <c r="P681" s="939">
        <f t="shared" si="403"/>
        <v>104.64606443711789</v>
      </c>
      <c r="Q681" s="939">
        <f t="shared" si="403"/>
        <v>110.30083978116141</v>
      </c>
      <c r="R681" s="939">
        <f t="shared" si="403"/>
        <v>111.85149776324226</v>
      </c>
      <c r="S681" s="939">
        <f t="shared" si="403"/>
        <v>114.43109583298322</v>
      </c>
      <c r="T681" s="939">
        <f t="shared" si="403"/>
        <v>119.21381575032611</v>
      </c>
      <c r="U681" s="939">
        <f t="shared" si="403"/>
        <v>126.21449392772669</v>
      </c>
      <c r="V681" s="939">
        <f t="shared" si="403"/>
        <v>133.93763300490454</v>
      </c>
      <c r="W681" s="939">
        <f t="shared" si="403"/>
        <v>145.64128438011232</v>
      </c>
      <c r="X681" s="939">
        <f t="shared" si="403"/>
        <v>145.42887724630947</v>
      </c>
      <c r="Y681" s="939">
        <f t="shared" si="403"/>
        <v>146.5248775732193</v>
      </c>
      <c r="Z681" s="939">
        <f t="shared" si="403"/>
        <v>147.75808033329858</v>
      </c>
      <c r="AA681" s="939">
        <f t="shared" si="403"/>
        <v>148.38050854323612</v>
      </c>
      <c r="AB681" s="939">
        <f t="shared" si="403"/>
        <v>139.30663986286848</v>
      </c>
      <c r="AC681" s="939">
        <f t="shared" si="403"/>
        <v>133.52324272387804</v>
      </c>
      <c r="AD681" s="939">
        <f t="shared" si="403"/>
        <v>131.66362524530859</v>
      </c>
      <c r="AE681" s="939">
        <f t="shared" si="403"/>
        <v>137.47572268920328</v>
      </c>
      <c r="AF681" s="939">
        <f t="shared" si="403"/>
        <v>141.83508120886438</v>
      </c>
      <c r="AG681" s="939">
        <f t="shared" si="371"/>
        <v>118.97537237287565</v>
      </c>
      <c r="AH681" s="939">
        <f t="shared" si="372"/>
        <v>103.17100243911173</v>
      </c>
      <c r="AI681" s="939">
        <f t="shared" si="373"/>
        <v>120.13843063239962</v>
      </c>
      <c r="AJ681" s="939">
        <f t="shared" si="374"/>
        <v>115.31861623918134</v>
      </c>
      <c r="AK681" s="939">
        <f t="shared" si="375"/>
        <v>104.41435319213328</v>
      </c>
      <c r="AL681" s="939">
        <f t="shared" si="376"/>
        <v>117.71288527937547</v>
      </c>
      <c r="AM681" s="939">
        <f t="shared" si="377"/>
        <v>110.4432606377239</v>
      </c>
      <c r="AN681" s="939">
        <f t="shared" si="378"/>
        <v>98.607270584032264</v>
      </c>
      <c r="AO681" s="939">
        <f t="shared" si="379"/>
        <v>121.05369550113147</v>
      </c>
      <c r="AP681" s="939">
        <f t="shared" si="380"/>
        <v>112.00316161636894</v>
      </c>
      <c r="AQ681" s="939">
        <f t="shared" si="381"/>
        <v>95.848441147756105</v>
      </c>
      <c r="AR681" s="939">
        <f t="shared" si="382"/>
        <v>133.12171901751569</v>
      </c>
      <c r="AS681" s="939">
        <f t="shared" si="383"/>
        <v>116.85444257117273</v>
      </c>
      <c r="AT681" s="939">
        <f t="shared" si="384"/>
        <v>93.884730029939462</v>
      </c>
      <c r="AU681" s="939">
        <f t="shared" si="385"/>
        <v>133.38535031520254</v>
      </c>
      <c r="AV681" s="939">
        <f t="shared" si="386"/>
        <v>124.465866317034</v>
      </c>
      <c r="AW681" s="939">
        <f t="shared" si="387"/>
        <v>100.42124817034272</v>
      </c>
      <c r="AX681" s="939">
        <f t="shared" si="388"/>
        <v>134.72674321614568</v>
      </c>
      <c r="AY681" s="939">
        <f t="shared" si="389"/>
        <v>123.94375551467438</v>
      </c>
      <c r="AZ681" s="939">
        <f t="shared" si="390"/>
        <v>100.84163370787533</v>
      </c>
      <c r="BA681" s="939">
        <f t="shared" si="391"/>
        <v>130.04986519850397</v>
      </c>
      <c r="BB681" s="939">
        <f t="shared" si="392"/>
        <v>122.90930933717594</v>
      </c>
      <c r="BC681" s="939">
        <f t="shared" si="393"/>
        <v>100.75363321759924</v>
      </c>
      <c r="BD681" s="939">
        <f t="shared" si="394"/>
        <v>127.7844507207116</v>
      </c>
      <c r="BE681" s="939">
        <f t="shared" si="395"/>
        <v>121.98995253275555</v>
      </c>
      <c r="BF681" s="939">
        <f t="shared" si="396"/>
        <v>99.8541573327186</v>
      </c>
      <c r="BG681" s="939">
        <f t="shared" si="397"/>
        <v>134.52013840696273</v>
      </c>
      <c r="BH681" s="939">
        <f t="shared" si="398"/>
        <v>122.16812578596952</v>
      </c>
      <c r="BI681" s="939">
        <f t="shared" si="399"/>
        <v>108.73813513994175</v>
      </c>
      <c r="BJ681" s="939">
        <f t="shared" si="400"/>
        <v>106.11905878385114</v>
      </c>
      <c r="BK681" s="939">
        <f t="shared" si="401"/>
        <v>117.68222143732207</v>
      </c>
      <c r="BL681" s="939">
        <f t="shared" si="402"/>
        <v>112.3507641810703</v>
      </c>
      <c r="BM681" s="939">
        <v>105.87549449490258</v>
      </c>
      <c r="BN681" s="939">
        <v>111.15284788130784</v>
      </c>
    </row>
    <row r="682" spans="1:66">
      <c r="A682" s="937"/>
      <c r="B682" s="936" t="s">
        <v>1696</v>
      </c>
      <c r="C682" s="947"/>
      <c r="D682" s="758"/>
      <c r="E682" s="758"/>
      <c r="F682" s="969"/>
      <c r="G682" s="933"/>
      <c r="H682" s="932">
        <f t="shared" ref="H682:AF682" si="404">+H348</f>
        <v>100.00000000000001</v>
      </c>
      <c r="I682" s="932">
        <f t="shared" si="404"/>
        <v>114.15456226887407</v>
      </c>
      <c r="J682" s="932">
        <f t="shared" si="404"/>
        <v>114.13300818723913</v>
      </c>
      <c r="K682" s="932">
        <f t="shared" si="404"/>
        <v>108.43629017548768</v>
      </c>
      <c r="L682" s="932">
        <f t="shared" si="404"/>
        <v>114.16105121700934</v>
      </c>
      <c r="M682" s="932">
        <f t="shared" si="404"/>
        <v>112.93898155951315</v>
      </c>
      <c r="N682" s="932">
        <f t="shared" si="404"/>
        <v>109.83330696965268</v>
      </c>
      <c r="O682" s="932">
        <f t="shared" si="404"/>
        <v>111.45501332727903</v>
      </c>
      <c r="P682" s="932">
        <f t="shared" si="404"/>
        <v>104.75411886899229</v>
      </c>
      <c r="Q682" s="932">
        <f t="shared" si="404"/>
        <v>110.59675709145398</v>
      </c>
      <c r="R682" s="932">
        <f t="shared" si="404"/>
        <v>112.1989310143516</v>
      </c>
      <c r="S682" s="932">
        <f t="shared" si="404"/>
        <v>114.86422846011709</v>
      </c>
      <c r="T682" s="932">
        <f t="shared" si="404"/>
        <v>119.74890856719645</v>
      </c>
      <c r="U682" s="932">
        <f t="shared" si="404"/>
        <v>126.81801608602373</v>
      </c>
      <c r="V682" s="932">
        <f t="shared" si="404"/>
        <v>134.76801078057167</v>
      </c>
      <c r="W682" s="932">
        <f t="shared" si="404"/>
        <v>146.68848977626735</v>
      </c>
      <c r="X682" s="932">
        <f t="shared" si="404"/>
        <v>146.32745053245654</v>
      </c>
      <c r="Y682" s="932">
        <f t="shared" si="404"/>
        <v>147.47811142215571</v>
      </c>
      <c r="Z682" s="932">
        <f t="shared" si="404"/>
        <v>148.49323474263937</v>
      </c>
      <c r="AA682" s="932">
        <f t="shared" si="404"/>
        <v>149.10265027192003</v>
      </c>
      <c r="AB682" s="932">
        <f t="shared" si="404"/>
        <v>139.55745320814776</v>
      </c>
      <c r="AC682" s="932">
        <f t="shared" si="404"/>
        <v>133.64930208532715</v>
      </c>
      <c r="AD682" s="932">
        <f t="shared" si="404"/>
        <v>131.7279044172673</v>
      </c>
      <c r="AE682" s="932">
        <f t="shared" si="404"/>
        <v>137.68325547727321</v>
      </c>
      <c r="AF682" s="932">
        <f t="shared" si="404"/>
        <v>142.11927459824494</v>
      </c>
      <c r="AG682" s="932">
        <f t="shared" si="371"/>
        <v>118.68106047788775</v>
      </c>
      <c r="AH682" s="932">
        <f t="shared" si="372"/>
        <v>103.22190167976089</v>
      </c>
      <c r="AI682" s="932">
        <f t="shared" si="373"/>
        <v>119.86608652934912</v>
      </c>
      <c r="AJ682" s="932">
        <f t="shared" si="374"/>
        <v>114.97662661368892</v>
      </c>
      <c r="AK682" s="932">
        <f t="shared" si="375"/>
        <v>104.52094875899753</v>
      </c>
      <c r="AL682" s="932">
        <f t="shared" si="376"/>
        <v>117.40566797416075</v>
      </c>
      <c r="AM682" s="932">
        <f t="shared" si="377"/>
        <v>110.00342800063927</v>
      </c>
      <c r="AN682" s="932">
        <f t="shared" si="378"/>
        <v>98.562358622095047</v>
      </c>
      <c r="AO682" s="932">
        <f t="shared" si="379"/>
        <v>120.84378023381888</v>
      </c>
      <c r="AP682" s="932">
        <f t="shared" si="380"/>
        <v>111.60795007190447</v>
      </c>
      <c r="AQ682" s="932">
        <f t="shared" si="381"/>
        <v>95.766509787185143</v>
      </c>
      <c r="AR682" s="932">
        <f t="shared" si="382"/>
        <v>133.22383378803582</v>
      </c>
      <c r="AS682" s="932">
        <f t="shared" si="383"/>
        <v>116.54173292931172</v>
      </c>
      <c r="AT682" s="932">
        <f t="shared" si="384"/>
        <v>93.598237827185102</v>
      </c>
      <c r="AU682" s="932">
        <f t="shared" si="385"/>
        <v>133.77832528187102</v>
      </c>
      <c r="AV682" s="932">
        <f t="shared" si="386"/>
        <v>124.51274258441518</v>
      </c>
      <c r="AW682" s="932">
        <f t="shared" si="387"/>
        <v>100.410399524488</v>
      </c>
      <c r="AX682" s="932">
        <f t="shared" si="388"/>
        <v>135.19872872776978</v>
      </c>
      <c r="AY682" s="932">
        <f t="shared" si="389"/>
        <v>124.0038314497983</v>
      </c>
      <c r="AZ682" s="932">
        <f t="shared" si="390"/>
        <v>100.68832134524553</v>
      </c>
      <c r="BA682" s="932">
        <f t="shared" si="391"/>
        <v>130.58211556869952</v>
      </c>
      <c r="BB682" s="932">
        <f t="shared" si="392"/>
        <v>123.15612157700724</v>
      </c>
      <c r="BC682" s="932">
        <f t="shared" si="393"/>
        <v>100.78636023897917</v>
      </c>
      <c r="BD682" s="932">
        <f t="shared" si="394"/>
        <v>128.17633419851916</v>
      </c>
      <c r="BE682" s="932">
        <f t="shared" si="395"/>
        <v>122.19522689874512</v>
      </c>
      <c r="BF682" s="932">
        <f t="shared" si="396"/>
        <v>99.753873501348693</v>
      </c>
      <c r="BG682" s="932">
        <f t="shared" si="397"/>
        <v>135.27619723883424</v>
      </c>
      <c r="BH682" s="932">
        <f t="shared" si="398"/>
        <v>122.49672379598675</v>
      </c>
      <c r="BI682" s="932">
        <f t="shared" si="399"/>
        <v>108.84518434801602</v>
      </c>
      <c r="BJ682" s="932">
        <f t="shared" si="400"/>
        <v>106.26882121319045</v>
      </c>
      <c r="BK682" s="932">
        <f t="shared" si="401"/>
        <v>118.07978508678237</v>
      </c>
      <c r="BL682" s="932">
        <f t="shared" si="402"/>
        <v>112.54216208989274</v>
      </c>
      <c r="BM682" s="932">
        <v>105.90650436434788</v>
      </c>
      <c r="BN682" s="932">
        <v>111.24337169258133</v>
      </c>
    </row>
    <row r="683" spans="1:66">
      <c r="A683" s="937"/>
      <c r="B683" s="947"/>
      <c r="C683" s="959" t="s">
        <v>1695</v>
      </c>
      <c r="D683" s="758"/>
      <c r="E683" s="970"/>
      <c r="F683" s="969"/>
      <c r="G683" s="933"/>
      <c r="H683" s="958">
        <f t="shared" ref="H683:AF683" si="405">+H349</f>
        <v>100.00000000000001</v>
      </c>
      <c r="I683" s="958">
        <f t="shared" si="405"/>
        <v>100.43032568821268</v>
      </c>
      <c r="J683" s="958">
        <f t="shared" si="405"/>
        <v>101.18187490673618</v>
      </c>
      <c r="K683" s="958">
        <f t="shared" si="405"/>
        <v>100.60364656188059</v>
      </c>
      <c r="L683" s="958">
        <f t="shared" si="405"/>
        <v>101.26022679596532</v>
      </c>
      <c r="M683" s="958">
        <f t="shared" si="405"/>
        <v>100.81374447084031</v>
      </c>
      <c r="N683" s="958">
        <f t="shared" si="405"/>
        <v>101.93589640546749</v>
      </c>
      <c r="O683" s="958">
        <f t="shared" si="405"/>
        <v>102.2454521763616</v>
      </c>
      <c r="P683" s="958">
        <f t="shared" si="405"/>
        <v>102.12916458377022</v>
      </c>
      <c r="Q683" s="958">
        <f t="shared" si="405"/>
        <v>104.4439827507493</v>
      </c>
      <c r="R683" s="958">
        <f t="shared" si="405"/>
        <v>104.52164067527991</v>
      </c>
      <c r="S683" s="958">
        <f t="shared" si="405"/>
        <v>105.17006844877393</v>
      </c>
      <c r="T683" s="958">
        <f t="shared" si="405"/>
        <v>105.48176100052842</v>
      </c>
      <c r="U683" s="958">
        <f t="shared" si="405"/>
        <v>107.99511887986321</v>
      </c>
      <c r="V683" s="958">
        <f t="shared" si="405"/>
        <v>107.99511887986321</v>
      </c>
      <c r="W683" s="958">
        <f t="shared" si="405"/>
        <v>107.57892812597647</v>
      </c>
      <c r="X683" s="958">
        <f t="shared" si="405"/>
        <v>106.8756067884943</v>
      </c>
      <c r="Y683" s="958">
        <f t="shared" si="405"/>
        <v>106.9950805185414</v>
      </c>
      <c r="Z683" s="958">
        <f t="shared" si="405"/>
        <v>103.51069758575063</v>
      </c>
      <c r="AA683" s="958">
        <f t="shared" si="405"/>
        <v>105.13319388057457</v>
      </c>
      <c r="AB683" s="958">
        <f t="shared" si="405"/>
        <v>103.63329398984803</v>
      </c>
      <c r="AC683" s="958">
        <f t="shared" si="405"/>
        <v>102.8520699181595</v>
      </c>
      <c r="AD683" s="958">
        <f t="shared" si="405"/>
        <v>102.8520699181595</v>
      </c>
      <c r="AE683" s="958">
        <f t="shared" si="405"/>
        <v>102.84642016411331</v>
      </c>
      <c r="AF683" s="958">
        <f t="shared" si="405"/>
        <v>104.67006350266719</v>
      </c>
      <c r="AG683" s="958">
        <f t="shared" si="371"/>
        <v>99.230485450601108</v>
      </c>
      <c r="AH683" s="958">
        <f t="shared" si="372"/>
        <v>101.77317142944196</v>
      </c>
      <c r="AI683" s="958">
        <f t="shared" si="373"/>
        <v>97.790580229780474</v>
      </c>
      <c r="AJ683" s="958">
        <f t="shared" si="374"/>
        <v>97.501614675923065</v>
      </c>
      <c r="AK683" s="958">
        <f t="shared" si="375"/>
        <v>99.994506912645818</v>
      </c>
      <c r="AL683" s="958">
        <f t="shared" si="376"/>
        <v>98.402655424911174</v>
      </c>
      <c r="AM683" s="958">
        <f t="shared" si="377"/>
        <v>97.506970819006568</v>
      </c>
      <c r="AN683" s="958">
        <f t="shared" si="378"/>
        <v>100</v>
      </c>
      <c r="AO683" s="958">
        <f t="shared" si="379"/>
        <v>98.475821401421641</v>
      </c>
      <c r="AP683" s="958">
        <f t="shared" si="380"/>
        <v>97.506970819006568</v>
      </c>
      <c r="AQ683" s="958">
        <f t="shared" si="381"/>
        <v>99.246164971109522</v>
      </c>
      <c r="AR683" s="958">
        <f t="shared" si="382"/>
        <v>101.47277167321198</v>
      </c>
      <c r="AS683" s="958">
        <f t="shared" si="383"/>
        <v>98.247595609755564</v>
      </c>
      <c r="AT683" s="958">
        <f t="shared" si="384"/>
        <v>98.573333658606117</v>
      </c>
      <c r="AU683" s="958">
        <f t="shared" si="385"/>
        <v>102.82432288453471</v>
      </c>
      <c r="AV683" s="958">
        <f t="shared" si="386"/>
        <v>99.669547496507846</v>
      </c>
      <c r="AW683" s="958">
        <f t="shared" si="387"/>
        <v>101.56746725958428</v>
      </c>
      <c r="AX683" s="958">
        <f t="shared" si="388"/>
        <v>101.54489363984116</v>
      </c>
      <c r="AY683" s="958">
        <f t="shared" si="389"/>
        <v>98.131370394197432</v>
      </c>
      <c r="AZ683" s="958">
        <f t="shared" si="390"/>
        <v>96.743417626395498</v>
      </c>
      <c r="BA683" s="958">
        <f t="shared" si="391"/>
        <v>106.13144177923974</v>
      </c>
      <c r="BB683" s="958">
        <f t="shared" si="392"/>
        <v>101.43467411205374</v>
      </c>
      <c r="BC683" s="958">
        <f t="shared" si="393"/>
        <v>100.11178765074386</v>
      </c>
      <c r="BD683" s="958">
        <f t="shared" si="394"/>
        <v>105.54549418879311</v>
      </c>
      <c r="BE683" s="958">
        <f t="shared" si="395"/>
        <v>101.32140928890909</v>
      </c>
      <c r="BF683" s="958">
        <f t="shared" si="396"/>
        <v>99.346227602622534</v>
      </c>
      <c r="BG683" s="958">
        <f t="shared" si="397"/>
        <v>106.93342816336727</v>
      </c>
      <c r="BH683" s="958">
        <f t="shared" si="398"/>
        <v>101.98817985740449</v>
      </c>
      <c r="BI683" s="958">
        <f t="shared" si="399"/>
        <v>99.614620773416888</v>
      </c>
      <c r="BJ683" s="958">
        <f t="shared" si="400"/>
        <v>100</v>
      </c>
      <c r="BK683" s="958">
        <f t="shared" si="401"/>
        <v>106.73366052902963</v>
      </c>
      <c r="BL683" s="958">
        <f t="shared" si="402"/>
        <v>102.38274167542785</v>
      </c>
      <c r="BM683" s="958">
        <v>102.38274167542785</v>
      </c>
      <c r="BN683" s="958">
        <v>107.53237942803804</v>
      </c>
    </row>
    <row r="684" spans="1:66">
      <c r="A684" s="937"/>
      <c r="B684" s="947"/>
      <c r="C684" s="959" t="s">
        <v>1694</v>
      </c>
      <c r="D684" s="935"/>
      <c r="E684" s="970"/>
      <c r="F684" s="969"/>
      <c r="G684" s="933"/>
      <c r="H684" s="958">
        <f t="shared" ref="H684:AF684" si="406">+H360</f>
        <v>100</v>
      </c>
      <c r="I684" s="958">
        <f t="shared" si="406"/>
        <v>140.13298401896668</v>
      </c>
      <c r="J684" s="958">
        <f t="shared" si="406"/>
        <v>136.7911603146986</v>
      </c>
      <c r="K684" s="958">
        <f t="shared" si="406"/>
        <v>126.02460591639681</v>
      </c>
      <c r="L684" s="958">
        <f t="shared" si="406"/>
        <v>140.2709328811323</v>
      </c>
      <c r="M684" s="958">
        <f t="shared" si="406"/>
        <v>151.99682437909541</v>
      </c>
      <c r="N684" s="958">
        <f t="shared" si="406"/>
        <v>135.65571527979685</v>
      </c>
      <c r="O684" s="958">
        <f t="shared" si="406"/>
        <v>144.43679976341548</v>
      </c>
      <c r="P684" s="958">
        <f t="shared" si="406"/>
        <v>121.60553375314223</v>
      </c>
      <c r="Q684" s="958">
        <f t="shared" si="406"/>
        <v>139.62498321703237</v>
      </c>
      <c r="R684" s="958">
        <f t="shared" si="406"/>
        <v>142.09828440561611</v>
      </c>
      <c r="S684" s="958">
        <f t="shared" si="406"/>
        <v>147.6539296655034</v>
      </c>
      <c r="T684" s="958">
        <f t="shared" si="406"/>
        <v>157.29477093783214</v>
      </c>
      <c r="U684" s="958">
        <f t="shared" si="406"/>
        <v>167.13249542401314</v>
      </c>
      <c r="V684" s="958">
        <f t="shared" si="406"/>
        <v>189.89954461156384</v>
      </c>
      <c r="W684" s="958">
        <f t="shared" si="406"/>
        <v>232.95708880269444</v>
      </c>
      <c r="X684" s="958">
        <f t="shared" si="406"/>
        <v>242.59405064978944</v>
      </c>
      <c r="Y684" s="958">
        <f t="shared" si="406"/>
        <v>251.11562365328976</v>
      </c>
      <c r="Z684" s="958">
        <f t="shared" si="406"/>
        <v>262.38399658155959</v>
      </c>
      <c r="AA684" s="958">
        <f t="shared" si="406"/>
        <v>264.74331067165195</v>
      </c>
      <c r="AB684" s="958">
        <f t="shared" si="406"/>
        <v>232.93208402028972</v>
      </c>
      <c r="AC684" s="958">
        <f t="shared" si="406"/>
        <v>212.69394750570333</v>
      </c>
      <c r="AD684" s="958">
        <f t="shared" si="406"/>
        <v>203.14509028713439</v>
      </c>
      <c r="AE684" s="958">
        <f t="shared" si="406"/>
        <v>216.11108800098003</v>
      </c>
      <c r="AF684" s="958">
        <f t="shared" si="406"/>
        <v>224.10184690872882</v>
      </c>
      <c r="AG684" s="958">
        <f t="shared" si="371"/>
        <v>142.47253457478314</v>
      </c>
      <c r="AH684" s="958">
        <f t="shared" si="372"/>
        <v>103.6975237974428</v>
      </c>
      <c r="AI684" s="958">
        <f t="shared" si="373"/>
        <v>146.36324850314523</v>
      </c>
      <c r="AJ684" s="958">
        <f t="shared" si="374"/>
        <v>137.39241725104387</v>
      </c>
      <c r="AK684" s="958">
        <f t="shared" si="375"/>
        <v>106.38262913246828</v>
      </c>
      <c r="AL684" s="958">
        <f t="shared" si="376"/>
        <v>142.96097320025459</v>
      </c>
      <c r="AM684" s="958">
        <f t="shared" si="377"/>
        <v>129.14929662056201</v>
      </c>
      <c r="AN684" s="958">
        <f t="shared" si="378"/>
        <v>95.510517656684669</v>
      </c>
      <c r="AO684" s="958">
        <f t="shared" si="379"/>
        <v>152.33229942459005</v>
      </c>
      <c r="AP684" s="958">
        <f t="shared" si="380"/>
        <v>135.21997345338752</v>
      </c>
      <c r="AQ684" s="958">
        <f t="shared" si="381"/>
        <v>91.311571954671763</v>
      </c>
      <c r="AR684" s="958">
        <f t="shared" si="382"/>
        <v>191.54727324591909</v>
      </c>
      <c r="AS684" s="958">
        <f t="shared" si="383"/>
        <v>148.08634936272091</v>
      </c>
      <c r="AT684" s="958">
        <f t="shared" si="384"/>
        <v>87.984124482444003</v>
      </c>
      <c r="AU684" s="958">
        <f t="shared" si="385"/>
        <v>183.29353122285738</v>
      </c>
      <c r="AV684" s="958">
        <f t="shared" si="386"/>
        <v>168.3103062442469</v>
      </c>
      <c r="AW684" s="958">
        <f t="shared" si="387"/>
        <v>100.89918368529729</v>
      </c>
      <c r="AX684" s="958">
        <f t="shared" si="388"/>
        <v>193.4190506020179</v>
      </c>
      <c r="AY684" s="958">
        <f t="shared" si="389"/>
        <v>166.81037457072367</v>
      </c>
      <c r="AZ684" s="958">
        <f t="shared" si="390"/>
        <v>104.4873245098552</v>
      </c>
      <c r="BA684" s="958">
        <f t="shared" si="391"/>
        <v>165.21109877070987</v>
      </c>
      <c r="BB684" s="958">
        <f t="shared" si="392"/>
        <v>159.64651727204497</v>
      </c>
      <c r="BC684" s="958">
        <f t="shared" si="393"/>
        <v>103.51268837000546</v>
      </c>
      <c r="BD684" s="958">
        <f t="shared" si="394"/>
        <v>172.9467721266011</v>
      </c>
      <c r="BE684" s="958">
        <f t="shared" si="395"/>
        <v>154.22893539523338</v>
      </c>
      <c r="BF684" s="958">
        <f t="shared" si="396"/>
        <v>104.1367969940838</v>
      </c>
      <c r="BG684" s="958">
        <f t="shared" si="397"/>
        <v>184.85047987948903</v>
      </c>
      <c r="BH684" s="958">
        <f t="shared" si="398"/>
        <v>148.10224612919043</v>
      </c>
      <c r="BI684" s="958">
        <f t="shared" si="399"/>
        <v>122.67385331502719</v>
      </c>
      <c r="BJ684" s="958">
        <f t="shared" si="400"/>
        <v>113.6221559606293</v>
      </c>
      <c r="BK684" s="958">
        <f t="shared" si="401"/>
        <v>138.82442708628636</v>
      </c>
      <c r="BL684" s="958">
        <f t="shared" si="402"/>
        <v>120.72845364110556</v>
      </c>
      <c r="BM684" s="958">
        <v>106.25432392159379</v>
      </c>
      <c r="BN684" s="958">
        <v>119.26706377806966</v>
      </c>
    </row>
    <row r="685" spans="1:66">
      <c r="A685" s="937"/>
      <c r="B685" s="947"/>
      <c r="C685" s="961" t="s">
        <v>1693</v>
      </c>
      <c r="D685" s="935"/>
      <c r="E685" s="758"/>
      <c r="F685" s="758"/>
      <c r="G685" s="933"/>
      <c r="H685" s="958">
        <f t="shared" ref="H685:AF685" si="407">+H370</f>
        <v>100.00000000000001</v>
      </c>
      <c r="I685" s="958">
        <f t="shared" si="407"/>
        <v>115.59315192549316</v>
      </c>
      <c r="J685" s="958">
        <f t="shared" si="407"/>
        <v>110.21243511707583</v>
      </c>
      <c r="K685" s="958">
        <f t="shared" si="407"/>
        <v>100.81517428374448</v>
      </c>
      <c r="L685" s="958">
        <f t="shared" si="407"/>
        <v>100.76047855069655</v>
      </c>
      <c r="M685" s="958">
        <f t="shared" si="407"/>
        <v>91.755824248585057</v>
      </c>
      <c r="N685" s="958">
        <f t="shared" si="407"/>
        <v>82.074294403408146</v>
      </c>
      <c r="O685" s="958">
        <f t="shared" si="407"/>
        <v>81.736376730302212</v>
      </c>
      <c r="P685" s="958">
        <f t="shared" si="407"/>
        <v>80.761702664063918</v>
      </c>
      <c r="Q685" s="958">
        <f t="shared" si="407"/>
        <v>81.898822408008613</v>
      </c>
      <c r="R685" s="958">
        <f t="shared" si="407"/>
        <v>95.570005795899107</v>
      </c>
      <c r="S685" s="958">
        <f t="shared" si="407"/>
        <v>98.507517245361484</v>
      </c>
      <c r="T685" s="958">
        <f t="shared" si="407"/>
        <v>108.97062494147535</v>
      </c>
      <c r="U685" s="958">
        <f t="shared" si="407"/>
        <v>115.00664276929118</v>
      </c>
      <c r="V685" s="958">
        <f t="shared" si="407"/>
        <v>116.49871849473929</v>
      </c>
      <c r="W685" s="958">
        <f t="shared" si="407"/>
        <v>115.6564254801167</v>
      </c>
      <c r="X685" s="958">
        <f t="shared" si="407"/>
        <v>107.17492886883429</v>
      </c>
      <c r="Y685" s="958">
        <f t="shared" si="407"/>
        <v>102.93418056319307</v>
      </c>
      <c r="Z685" s="958">
        <f t="shared" si="407"/>
        <v>92.063804543690807</v>
      </c>
      <c r="AA685" s="958">
        <f t="shared" si="407"/>
        <v>83.620188835016535</v>
      </c>
      <c r="AB685" s="958">
        <f t="shared" si="407"/>
        <v>80.826465208669916</v>
      </c>
      <c r="AC685" s="958">
        <f t="shared" si="407"/>
        <v>84.775614922300861</v>
      </c>
      <c r="AD685" s="958">
        <f t="shared" si="407"/>
        <v>93.15629124238707</v>
      </c>
      <c r="AE685" s="958">
        <f t="shared" si="407"/>
        <v>108.66427913949467</v>
      </c>
      <c r="AF685" s="958">
        <f t="shared" si="407"/>
        <v>114.81996007647616</v>
      </c>
      <c r="AG685" s="958">
        <f t="shared" si="371"/>
        <v>105.36780911198986</v>
      </c>
      <c r="AH685" s="958">
        <f t="shared" si="372"/>
        <v>105.66486152186158</v>
      </c>
      <c r="AI685" s="958">
        <f t="shared" si="373"/>
        <v>110.31064651526525</v>
      </c>
      <c r="AJ685" s="958">
        <f t="shared" si="374"/>
        <v>99.718873042946015</v>
      </c>
      <c r="AK685" s="958">
        <f t="shared" si="375"/>
        <v>116.64727920174145</v>
      </c>
      <c r="AL685" s="958">
        <f t="shared" si="376"/>
        <v>97.474401582995824</v>
      </c>
      <c r="AM685" s="958">
        <f t="shared" si="377"/>
        <v>85.487525920327926</v>
      </c>
      <c r="AN685" s="958">
        <f t="shared" si="378"/>
        <v>109.88571575419101</v>
      </c>
      <c r="AO685" s="958">
        <f t="shared" si="379"/>
        <v>103.51261767838426</v>
      </c>
      <c r="AP685" s="958">
        <f t="shared" si="380"/>
        <v>77.796759418266291</v>
      </c>
      <c r="AQ685" s="958">
        <f t="shared" si="381"/>
        <v>104.8859611804567</v>
      </c>
      <c r="AR685" s="958">
        <f t="shared" si="382"/>
        <v>100.08018967217096</v>
      </c>
      <c r="AS685" s="958">
        <f t="shared" si="383"/>
        <v>74.172709619752325</v>
      </c>
      <c r="AT685" s="958">
        <f t="shared" si="384"/>
        <v>96.659032148493878</v>
      </c>
      <c r="AU685" s="958">
        <f t="shared" si="385"/>
        <v>102.30474138941852</v>
      </c>
      <c r="AV685" s="958">
        <f t="shared" si="386"/>
        <v>76.736449735812997</v>
      </c>
      <c r="AW685" s="958">
        <f t="shared" si="387"/>
        <v>90.82851751508143</v>
      </c>
      <c r="AX685" s="958">
        <f t="shared" si="388"/>
        <v>112.1713018831239</v>
      </c>
      <c r="AY685" s="958">
        <f t="shared" si="389"/>
        <v>84.48497436179278</v>
      </c>
      <c r="AZ685" s="958">
        <f t="shared" si="390"/>
        <v>89.43948845755007</v>
      </c>
      <c r="BA685" s="958">
        <f t="shared" si="391"/>
        <v>112.18272126717928</v>
      </c>
      <c r="BB685" s="958">
        <f t="shared" si="392"/>
        <v>94.460484757681925</v>
      </c>
      <c r="BC685" s="958">
        <f t="shared" si="393"/>
        <v>96.04315267535074</v>
      </c>
      <c r="BD685" s="958">
        <f t="shared" si="394"/>
        <v>106.36603796488559</v>
      </c>
      <c r="BE685" s="958">
        <f t="shared" si="395"/>
        <v>98.352128315676381</v>
      </c>
      <c r="BF685" s="958">
        <f t="shared" si="396"/>
        <v>92.66664469693427</v>
      </c>
      <c r="BG685" s="958">
        <f t="shared" si="397"/>
        <v>114.72124737353673</v>
      </c>
      <c r="BH685" s="958">
        <f t="shared" si="398"/>
        <v>106.13541543166525</v>
      </c>
      <c r="BI685" s="958">
        <f t="shared" si="399"/>
        <v>99.276993751085229</v>
      </c>
      <c r="BJ685" s="958">
        <f t="shared" si="400"/>
        <v>101.29738221160085</v>
      </c>
      <c r="BK685" s="958">
        <f t="shared" si="401"/>
        <v>105.70378775406397</v>
      </c>
      <c r="BL685" s="958">
        <f t="shared" si="402"/>
        <v>106.90836962466447</v>
      </c>
      <c r="BM685" s="958">
        <v>105.57381160546191</v>
      </c>
      <c r="BN685" s="958">
        <v>100.82957009230434</v>
      </c>
    </row>
    <row r="686" spans="1:66">
      <c r="A686" s="937"/>
      <c r="B686" s="947"/>
      <c r="C686" s="961" t="s">
        <v>1692</v>
      </c>
      <c r="D686" s="935"/>
      <c r="E686" s="758"/>
      <c r="F686" s="758"/>
      <c r="G686" s="933"/>
      <c r="H686" s="958">
        <f t="shared" ref="H686:AF686" si="408">+H377</f>
        <v>100.00000000000001</v>
      </c>
      <c r="I686" s="958">
        <f t="shared" si="408"/>
        <v>101.6018592060193</v>
      </c>
      <c r="J686" s="958">
        <f t="shared" si="408"/>
        <v>106.51977919460406</v>
      </c>
      <c r="K686" s="958">
        <f t="shared" si="408"/>
        <v>104.95790249905383</v>
      </c>
      <c r="L686" s="958">
        <f t="shared" si="408"/>
        <v>101.80041592923378</v>
      </c>
      <c r="M686" s="958">
        <f t="shared" si="408"/>
        <v>99.292724696597531</v>
      </c>
      <c r="N686" s="958">
        <f t="shared" si="408"/>
        <v>98.977386554254892</v>
      </c>
      <c r="O686" s="958">
        <f t="shared" si="408"/>
        <v>98.977386554254892</v>
      </c>
      <c r="P686" s="958">
        <f t="shared" si="408"/>
        <v>101.43762278939221</v>
      </c>
      <c r="Q686" s="958">
        <f t="shared" si="408"/>
        <v>106.9240732640547</v>
      </c>
      <c r="R686" s="958">
        <f t="shared" si="408"/>
        <v>106.9240732640547</v>
      </c>
      <c r="S686" s="958">
        <f t="shared" si="408"/>
        <v>106.9240732640547</v>
      </c>
      <c r="T686" s="958">
        <f t="shared" si="408"/>
        <v>107.82497745105115</v>
      </c>
      <c r="U686" s="958">
        <f t="shared" si="408"/>
        <v>112.31514679560357</v>
      </c>
      <c r="V686" s="958">
        <f t="shared" si="408"/>
        <v>118.05791734361097</v>
      </c>
      <c r="W686" s="958">
        <f t="shared" si="408"/>
        <v>114.51026410562213</v>
      </c>
      <c r="X686" s="958">
        <f t="shared" si="408"/>
        <v>112.02063598963849</v>
      </c>
      <c r="Y686" s="958">
        <f t="shared" si="408"/>
        <v>112.29599844059439</v>
      </c>
      <c r="Z686" s="958">
        <f t="shared" si="408"/>
        <v>112.33942312241268</v>
      </c>
      <c r="AA686" s="958">
        <f t="shared" si="408"/>
        <v>111.70529784729585</v>
      </c>
      <c r="AB686" s="958">
        <f t="shared" si="408"/>
        <v>111.49507241906743</v>
      </c>
      <c r="AC686" s="958">
        <f t="shared" si="408"/>
        <v>112.53632354943424</v>
      </c>
      <c r="AD686" s="958">
        <f t="shared" si="408"/>
        <v>112.58887990649134</v>
      </c>
      <c r="AE686" s="958">
        <f t="shared" si="408"/>
        <v>114.04089032836471</v>
      </c>
      <c r="AF686" s="958">
        <f t="shared" si="408"/>
        <v>114.92722127779595</v>
      </c>
      <c r="AG686" s="958">
        <f t="shared" si="371"/>
        <v>106.58682616462309</v>
      </c>
      <c r="AH686" s="958">
        <f t="shared" si="372"/>
        <v>100.77720451574797</v>
      </c>
      <c r="AI686" s="958">
        <f t="shared" si="373"/>
        <v>106.65595393727159</v>
      </c>
      <c r="AJ686" s="958">
        <f t="shared" si="374"/>
        <v>105.76481722904636</v>
      </c>
      <c r="AK686" s="958">
        <f t="shared" si="375"/>
        <v>101.28965704524222</v>
      </c>
      <c r="AL686" s="958">
        <f t="shared" si="376"/>
        <v>105.29797123277103</v>
      </c>
      <c r="AM686" s="958">
        <f t="shared" si="377"/>
        <v>104.41818080379646</v>
      </c>
      <c r="AN686" s="958">
        <f t="shared" si="378"/>
        <v>100.04670168297618</v>
      </c>
      <c r="AO686" s="958">
        <f t="shared" si="379"/>
        <v>105.24881826332953</v>
      </c>
      <c r="AP686" s="958">
        <f t="shared" si="380"/>
        <v>104.36943851949505</v>
      </c>
      <c r="AQ686" s="958">
        <f t="shared" si="381"/>
        <v>100.93389878832775</v>
      </c>
      <c r="AR686" s="958">
        <f t="shared" si="382"/>
        <v>109.91491061512433</v>
      </c>
      <c r="AS686" s="958">
        <f t="shared" si="383"/>
        <v>103.40375213125583</v>
      </c>
      <c r="AT686" s="958">
        <f t="shared" si="384"/>
        <v>99.811803529215055</v>
      </c>
      <c r="AU686" s="958">
        <f t="shared" si="385"/>
        <v>112.85941338334298</v>
      </c>
      <c r="AV686" s="958">
        <f t="shared" si="386"/>
        <v>103.59872126846142</v>
      </c>
      <c r="AW686" s="958">
        <f t="shared" si="387"/>
        <v>99.435527388790447</v>
      </c>
      <c r="AX686" s="958">
        <f t="shared" si="388"/>
        <v>113.50009030682308</v>
      </c>
      <c r="AY686" s="958">
        <f t="shared" si="389"/>
        <v>104.18682737347285</v>
      </c>
      <c r="AZ686" s="958">
        <f t="shared" si="390"/>
        <v>100.03866983901592</v>
      </c>
      <c r="BA686" s="958">
        <f t="shared" si="391"/>
        <v>113.09589779485871</v>
      </c>
      <c r="BB686" s="958">
        <f t="shared" si="392"/>
        <v>104.14655406867385</v>
      </c>
      <c r="BC686" s="958">
        <f t="shared" si="393"/>
        <v>100.24581403999649</v>
      </c>
      <c r="BD686" s="958">
        <f t="shared" si="394"/>
        <v>110.03946788145666</v>
      </c>
      <c r="BE686" s="958">
        <f t="shared" si="395"/>
        <v>103.89117497426979</v>
      </c>
      <c r="BF686" s="958">
        <f t="shared" si="396"/>
        <v>97.825847197691161</v>
      </c>
      <c r="BG686" s="958">
        <f t="shared" si="397"/>
        <v>109.10113614994773</v>
      </c>
      <c r="BH686" s="958">
        <f t="shared" si="398"/>
        <v>106.20012803397604</v>
      </c>
      <c r="BI686" s="958">
        <f t="shared" si="399"/>
        <v>96.994989139387158</v>
      </c>
      <c r="BJ686" s="958">
        <f t="shared" si="400"/>
        <v>105.11308644635294</v>
      </c>
      <c r="BK686" s="958">
        <f t="shared" si="401"/>
        <v>110.83192082845719</v>
      </c>
      <c r="BL686" s="958">
        <f t="shared" si="402"/>
        <v>109.49032416649955</v>
      </c>
      <c r="BM686" s="958">
        <v>104.164312806456</v>
      </c>
      <c r="BN686" s="958">
        <v>110.54438144469462</v>
      </c>
    </row>
    <row r="687" spans="1:66">
      <c r="A687" s="957"/>
      <c r="B687" s="968"/>
      <c r="C687" s="961" t="s">
        <v>1691</v>
      </c>
      <c r="D687" s="935"/>
      <c r="E687" s="955"/>
      <c r="F687" s="955"/>
      <c r="G687" s="933"/>
      <c r="H687" s="958">
        <f t="shared" ref="H687:AF687" si="409">+H382</f>
        <v>100.00000000000001</v>
      </c>
      <c r="I687" s="958">
        <f t="shared" si="409"/>
        <v>100.00000000000001</v>
      </c>
      <c r="J687" s="958">
        <f t="shared" si="409"/>
        <v>116.5540659193741</v>
      </c>
      <c r="K687" s="958">
        <f t="shared" si="409"/>
        <v>102.66855976977411</v>
      </c>
      <c r="L687" s="958">
        <f t="shared" si="409"/>
        <v>116.55406591937411</v>
      </c>
      <c r="M687" s="958">
        <f t="shared" si="409"/>
        <v>117.93864878504526</v>
      </c>
      <c r="N687" s="958">
        <f t="shared" si="409"/>
        <v>118.76939850444796</v>
      </c>
      <c r="O687" s="958">
        <f t="shared" si="409"/>
        <v>117.93864878504526</v>
      </c>
      <c r="P687" s="958">
        <f t="shared" si="409"/>
        <v>116.55406591937411</v>
      </c>
      <c r="Q687" s="958">
        <f t="shared" si="409"/>
        <v>116.55406591937411</v>
      </c>
      <c r="R687" s="958">
        <f t="shared" si="409"/>
        <v>116.55406591937411</v>
      </c>
      <c r="S687" s="958">
        <f t="shared" si="409"/>
        <v>117.72407670616104</v>
      </c>
      <c r="T687" s="958">
        <f t="shared" si="409"/>
        <v>123.58223665701051</v>
      </c>
      <c r="U687" s="958">
        <f t="shared" si="409"/>
        <v>124.46355085350758</v>
      </c>
      <c r="V687" s="958">
        <f t="shared" si="409"/>
        <v>125.84813371917873</v>
      </c>
      <c r="W687" s="958">
        <f t="shared" si="409"/>
        <v>125.84813371917873</v>
      </c>
      <c r="X687" s="958">
        <f t="shared" si="409"/>
        <v>132.37303578764104</v>
      </c>
      <c r="Y687" s="958">
        <f t="shared" si="409"/>
        <v>132.37303578764104</v>
      </c>
      <c r="Z687" s="958">
        <f t="shared" si="409"/>
        <v>119.40167157072879</v>
      </c>
      <c r="AA687" s="958">
        <f t="shared" si="409"/>
        <v>122.96125631865959</v>
      </c>
      <c r="AB687" s="958">
        <f t="shared" si="409"/>
        <v>133.89754057349043</v>
      </c>
      <c r="AC687" s="958">
        <f t="shared" si="409"/>
        <v>132.80219510483502</v>
      </c>
      <c r="AD687" s="958">
        <f t="shared" si="409"/>
        <v>133.19503427598843</v>
      </c>
      <c r="AE687" s="958">
        <f t="shared" si="409"/>
        <v>135.93054845024614</v>
      </c>
      <c r="AF687" s="958">
        <f t="shared" si="409"/>
        <v>136.87910322693847</v>
      </c>
      <c r="AG687" s="958">
        <f t="shared" si="371"/>
        <v>110.75952898217243</v>
      </c>
      <c r="AH687" s="958">
        <f t="shared" si="372"/>
        <v>100.6978231070991</v>
      </c>
      <c r="AI687" s="958">
        <f t="shared" si="373"/>
        <v>115.46537654275122</v>
      </c>
      <c r="AJ687" s="958">
        <f t="shared" si="374"/>
        <v>109.99197953303521</v>
      </c>
      <c r="AK687" s="958">
        <f t="shared" si="375"/>
        <v>102.05376588483736</v>
      </c>
      <c r="AL687" s="958">
        <f t="shared" si="376"/>
        <v>114.27746704960569</v>
      </c>
      <c r="AM687" s="958">
        <f t="shared" si="377"/>
        <v>107.77846224426027</v>
      </c>
      <c r="AN687" s="958">
        <f t="shared" si="378"/>
        <v>100.29580773935498</v>
      </c>
      <c r="AO687" s="958">
        <f t="shared" si="379"/>
        <v>113.94042246171017</v>
      </c>
      <c r="AP687" s="958">
        <f t="shared" si="380"/>
        <v>107.46058551554907</v>
      </c>
      <c r="AQ687" s="958">
        <f t="shared" si="381"/>
        <v>99.181952510879597</v>
      </c>
      <c r="AR687" s="958">
        <f t="shared" si="382"/>
        <v>114.88019702900249</v>
      </c>
      <c r="AS687" s="958">
        <f t="shared" si="383"/>
        <v>108.34691473104583</v>
      </c>
      <c r="AT687" s="958">
        <f t="shared" si="384"/>
        <v>108.89408955491555</v>
      </c>
      <c r="AU687" s="958">
        <f t="shared" si="385"/>
        <v>104.25866124917924</v>
      </c>
      <c r="AV687" s="958">
        <f t="shared" si="386"/>
        <v>99.49751650791498</v>
      </c>
      <c r="AW687" s="958">
        <f t="shared" si="387"/>
        <v>102.98118502120153</v>
      </c>
      <c r="AX687" s="958">
        <f t="shared" si="388"/>
        <v>100.5323535138196</v>
      </c>
      <c r="AY687" s="958">
        <f t="shared" si="389"/>
        <v>96.617179621142128</v>
      </c>
      <c r="AZ687" s="958">
        <f t="shared" si="390"/>
        <v>90.200901460232799</v>
      </c>
      <c r="BA687" s="958">
        <f t="shared" si="391"/>
        <v>112.23889467218153</v>
      </c>
      <c r="BB687" s="958">
        <f t="shared" si="392"/>
        <v>107.11331933166777</v>
      </c>
      <c r="BC687" s="958">
        <f t="shared" si="393"/>
        <v>100</v>
      </c>
      <c r="BD687" s="958">
        <f t="shared" si="394"/>
        <v>113.572216244442</v>
      </c>
      <c r="BE687" s="958">
        <f t="shared" si="395"/>
        <v>107.11331933166777</v>
      </c>
      <c r="BF687" s="958">
        <f t="shared" si="396"/>
        <v>105.18474281312918</v>
      </c>
      <c r="BG687" s="958">
        <f t="shared" si="397"/>
        <v>122.57709078746497</v>
      </c>
      <c r="BH687" s="958">
        <f t="shared" si="398"/>
        <v>101.83351355620547</v>
      </c>
      <c r="BI687" s="958">
        <f t="shared" si="399"/>
        <v>100</v>
      </c>
      <c r="BJ687" s="958">
        <f t="shared" si="400"/>
        <v>101.11244043430898</v>
      </c>
      <c r="BK687" s="958">
        <f t="shared" si="401"/>
        <v>107.97403996719753</v>
      </c>
      <c r="BL687" s="958">
        <f t="shared" si="402"/>
        <v>101.83351355620547</v>
      </c>
      <c r="BM687" s="958">
        <v>100.71313986567752</v>
      </c>
      <c r="BN687" s="958">
        <v>124.46355085350757</v>
      </c>
    </row>
    <row r="688" spans="1:66">
      <c r="A688" s="957"/>
      <c r="B688" s="968"/>
      <c r="C688" s="961" t="s">
        <v>1690</v>
      </c>
      <c r="D688" s="935"/>
      <c r="E688" s="955"/>
      <c r="F688" s="955"/>
      <c r="G688" s="933"/>
      <c r="H688" s="958">
        <f t="shared" ref="H688:AF688" si="410">+H387</f>
        <v>99.999999999999972</v>
      </c>
      <c r="I688" s="958">
        <f t="shared" si="410"/>
        <v>109.26458907155373</v>
      </c>
      <c r="J688" s="958">
        <f t="shared" si="410"/>
        <v>114.04761488228267</v>
      </c>
      <c r="K688" s="958">
        <f t="shared" si="410"/>
        <v>105.31879415233564</v>
      </c>
      <c r="L688" s="958">
        <f t="shared" si="410"/>
        <v>115.23088919819996</v>
      </c>
      <c r="M688" s="958">
        <f t="shared" si="410"/>
        <v>90.384815281905915</v>
      </c>
      <c r="N688" s="958">
        <f t="shared" si="410"/>
        <v>105.05620561450085</v>
      </c>
      <c r="O688" s="958">
        <f t="shared" si="410"/>
        <v>98.242792300067279</v>
      </c>
      <c r="P688" s="958">
        <f t="shared" si="410"/>
        <v>95.460070558794357</v>
      </c>
      <c r="Q688" s="958">
        <f t="shared" si="410"/>
        <v>92.649375618397528</v>
      </c>
      <c r="R688" s="958">
        <f t="shared" si="410"/>
        <v>89.286182255221519</v>
      </c>
      <c r="S688" s="958">
        <f t="shared" si="410"/>
        <v>93.937512206099584</v>
      </c>
      <c r="T688" s="958">
        <f t="shared" si="410"/>
        <v>100.76250893587988</v>
      </c>
      <c r="U688" s="958">
        <f t="shared" si="410"/>
        <v>118.05861089371786</v>
      </c>
      <c r="V688" s="958">
        <f t="shared" si="410"/>
        <v>125.3268378107233</v>
      </c>
      <c r="W688" s="958">
        <f t="shared" si="410"/>
        <v>126.2190359106168</v>
      </c>
      <c r="X688" s="958">
        <f t="shared" si="410"/>
        <v>109.71718104870459</v>
      </c>
      <c r="Y688" s="958">
        <f t="shared" si="410"/>
        <v>102.91588714959418</v>
      </c>
      <c r="Z688" s="958">
        <f t="shared" si="410"/>
        <v>106.80614301580169</v>
      </c>
      <c r="AA688" s="958">
        <f t="shared" si="410"/>
        <v>106.57942582219817</v>
      </c>
      <c r="AB688" s="958">
        <f t="shared" si="410"/>
        <v>106.89242687328438</v>
      </c>
      <c r="AC688" s="958">
        <f t="shared" si="410"/>
        <v>104.07555605465454</v>
      </c>
      <c r="AD688" s="958">
        <f t="shared" si="410"/>
        <v>103.52285048044047</v>
      </c>
      <c r="AE688" s="958">
        <f t="shared" si="410"/>
        <v>106.74313609577736</v>
      </c>
      <c r="AF688" s="958">
        <f t="shared" si="410"/>
        <v>113.32651001843236</v>
      </c>
      <c r="AG688" s="958">
        <f t="shared" si="371"/>
        <v>112.46892441964458</v>
      </c>
      <c r="AH688" s="958">
        <f t="shared" si="372"/>
        <v>106.16749157224305</v>
      </c>
      <c r="AI688" s="958">
        <f t="shared" si="373"/>
        <v>113.6320662416332</v>
      </c>
      <c r="AJ688" s="958">
        <f t="shared" si="374"/>
        <v>105.93536943755862</v>
      </c>
      <c r="AK688" s="958">
        <f t="shared" si="375"/>
        <v>103.11070029504774</v>
      </c>
      <c r="AL688" s="958">
        <f t="shared" si="376"/>
        <v>115.9449848404582</v>
      </c>
      <c r="AM688" s="958">
        <f t="shared" si="377"/>
        <v>102.73945297086354</v>
      </c>
      <c r="AN688" s="958">
        <f t="shared" si="378"/>
        <v>99.468938149200156</v>
      </c>
      <c r="AO688" s="958">
        <f t="shared" si="379"/>
        <v>112.33271175330846</v>
      </c>
      <c r="AP688" s="958">
        <f t="shared" si="380"/>
        <v>103.2879760079048</v>
      </c>
      <c r="AQ688" s="958">
        <f t="shared" si="381"/>
        <v>97.364761095779869</v>
      </c>
      <c r="AR688" s="958">
        <f t="shared" si="382"/>
        <v>111.97606103532971</v>
      </c>
      <c r="AS688" s="958">
        <f t="shared" si="383"/>
        <v>106.08353047392384</v>
      </c>
      <c r="AT688" s="958">
        <f t="shared" si="384"/>
        <v>100.29367868016888</v>
      </c>
      <c r="AU688" s="958">
        <f t="shared" si="385"/>
        <v>108.48574569894956</v>
      </c>
      <c r="AV688" s="958">
        <f t="shared" si="386"/>
        <v>105.77289802303342</v>
      </c>
      <c r="AW688" s="958">
        <f t="shared" si="387"/>
        <v>99.787730193037703</v>
      </c>
      <c r="AX688" s="958">
        <f t="shared" si="388"/>
        <v>101.66571540544894</v>
      </c>
      <c r="AY688" s="958">
        <f t="shared" si="389"/>
        <v>105.99789955981313</v>
      </c>
      <c r="AZ688" s="958">
        <f t="shared" si="390"/>
        <v>103.78003433090248</v>
      </c>
      <c r="BA688" s="958">
        <f t="shared" si="391"/>
        <v>113.86413395724099</v>
      </c>
      <c r="BB688" s="958">
        <f t="shared" si="392"/>
        <v>102.13708276665143</v>
      </c>
      <c r="BC688" s="958">
        <f t="shared" si="393"/>
        <v>93.801067586587706</v>
      </c>
      <c r="BD688" s="958">
        <f t="shared" si="394"/>
        <v>95.215078016093699</v>
      </c>
      <c r="BE688" s="958">
        <f t="shared" si="395"/>
        <v>108.88690864031881</v>
      </c>
      <c r="BF688" s="958">
        <f t="shared" si="396"/>
        <v>86.926017345277344</v>
      </c>
      <c r="BG688" s="958">
        <f t="shared" si="397"/>
        <v>119.84474084278875</v>
      </c>
      <c r="BH688" s="958">
        <f t="shared" si="398"/>
        <v>125.26388757443124</v>
      </c>
      <c r="BI688" s="958">
        <f t="shared" si="399"/>
        <v>100.71189708084786</v>
      </c>
      <c r="BJ688" s="958">
        <f t="shared" si="400"/>
        <v>106.1564564092226</v>
      </c>
      <c r="BK688" s="958">
        <f t="shared" si="401"/>
        <v>109.88992443207408</v>
      </c>
      <c r="BL688" s="958">
        <f t="shared" si="402"/>
        <v>124.37844108315615</v>
      </c>
      <c r="BM688" s="958">
        <v>117.16521565460853</v>
      </c>
      <c r="BN688" s="958">
        <v>108.04837312517162</v>
      </c>
    </row>
    <row r="689" spans="1:66" ht="14.25" customHeight="1">
      <c r="A689" s="937"/>
      <c r="B689" s="947"/>
      <c r="C689" s="967" t="s">
        <v>1689</v>
      </c>
      <c r="D689" s="967"/>
      <c r="E689" s="967"/>
      <c r="F689" s="967"/>
      <c r="G689" s="933"/>
      <c r="H689" s="966">
        <f t="shared" ref="H689:AF689" si="411">+H397</f>
        <v>99.999999999999986</v>
      </c>
      <c r="I689" s="966">
        <f t="shared" si="411"/>
        <v>99.129758382883779</v>
      </c>
      <c r="J689" s="966">
        <f t="shared" si="411"/>
        <v>97.466654987976469</v>
      </c>
      <c r="K689" s="966">
        <f t="shared" si="411"/>
        <v>96.765745609376509</v>
      </c>
      <c r="L689" s="966">
        <f t="shared" si="411"/>
        <v>98.512281877363435</v>
      </c>
      <c r="M689" s="966">
        <f t="shared" si="411"/>
        <v>96.298378832818045</v>
      </c>
      <c r="N689" s="966">
        <f t="shared" si="411"/>
        <v>98.512281877363435</v>
      </c>
      <c r="O689" s="966">
        <f t="shared" si="411"/>
        <v>98.543285296453988</v>
      </c>
      <c r="P689" s="966">
        <f t="shared" si="411"/>
        <v>98.543285296453988</v>
      </c>
      <c r="Q689" s="966">
        <f t="shared" si="411"/>
        <v>99.091692360542055</v>
      </c>
      <c r="R689" s="966">
        <f t="shared" si="411"/>
        <v>99.091692360542055</v>
      </c>
      <c r="S689" s="966">
        <f t="shared" si="411"/>
        <v>99.091692360542055</v>
      </c>
      <c r="T689" s="966">
        <f t="shared" si="411"/>
        <v>99.091692360542055</v>
      </c>
      <c r="U689" s="966">
        <f t="shared" si="411"/>
        <v>103.92146166847633</v>
      </c>
      <c r="V689" s="966">
        <f t="shared" si="411"/>
        <v>104.01264819521323</v>
      </c>
      <c r="W689" s="966">
        <f t="shared" si="411"/>
        <v>103.7390886150025</v>
      </c>
      <c r="X689" s="966">
        <f t="shared" si="411"/>
        <v>104.58140968392203</v>
      </c>
      <c r="Y689" s="966">
        <f t="shared" si="411"/>
        <v>104.58140968392203</v>
      </c>
      <c r="Z689" s="966">
        <f t="shared" si="411"/>
        <v>102.1779194764737</v>
      </c>
      <c r="AA689" s="966">
        <f t="shared" si="411"/>
        <v>104.38460841158999</v>
      </c>
      <c r="AB689" s="966">
        <f t="shared" si="411"/>
        <v>102.37822667129684</v>
      </c>
      <c r="AC689" s="966">
        <f t="shared" si="411"/>
        <v>101.64763866659685</v>
      </c>
      <c r="AD689" s="966">
        <f t="shared" si="411"/>
        <v>101.64763866659685</v>
      </c>
      <c r="AE689" s="966">
        <f t="shared" si="411"/>
        <v>104.85512065415968</v>
      </c>
      <c r="AF689" s="966">
        <f t="shared" si="411"/>
        <v>106.56303715962581</v>
      </c>
      <c r="AG689" s="966">
        <f t="shared" si="371"/>
        <v>107.53982964777661</v>
      </c>
      <c r="AH689" s="966">
        <f t="shared" si="372"/>
        <v>101.62883461943579</v>
      </c>
      <c r="AI689" s="966">
        <f t="shared" si="373"/>
        <v>105.81625780761476</v>
      </c>
      <c r="AJ689" s="966">
        <f t="shared" si="374"/>
        <v>105.81625780761476</v>
      </c>
      <c r="AK689" s="966">
        <f t="shared" si="375"/>
        <v>103.15549089938365</v>
      </c>
      <c r="AL689" s="966">
        <f t="shared" si="376"/>
        <v>102.57937496592051</v>
      </c>
      <c r="AM689" s="966">
        <f t="shared" si="377"/>
        <v>102.57937496592051</v>
      </c>
      <c r="AN689" s="966">
        <f t="shared" si="378"/>
        <v>100</v>
      </c>
      <c r="AO689" s="966">
        <f t="shared" si="379"/>
        <v>102.57937496592051</v>
      </c>
      <c r="AP689" s="966">
        <f t="shared" si="380"/>
        <v>102.57937496592051</v>
      </c>
      <c r="AQ689" s="966">
        <f t="shared" si="381"/>
        <v>99.286383415249347</v>
      </c>
      <c r="AR689" s="966">
        <f t="shared" si="382"/>
        <v>103.89163134079197</v>
      </c>
      <c r="AS689" s="966">
        <f t="shared" si="383"/>
        <v>103.31665978495637</v>
      </c>
      <c r="AT689" s="966">
        <f t="shared" si="384"/>
        <v>98.077895035653185</v>
      </c>
      <c r="AU689" s="966">
        <f t="shared" si="385"/>
        <v>105.92767239042537</v>
      </c>
      <c r="AV689" s="966">
        <f t="shared" si="386"/>
        <v>105.34143269224813</v>
      </c>
      <c r="AW689" s="966">
        <f t="shared" si="387"/>
        <v>102.15965342260114</v>
      </c>
      <c r="AX689" s="966">
        <f t="shared" si="388"/>
        <v>103.72099552386125</v>
      </c>
      <c r="AY689" s="966">
        <f t="shared" si="389"/>
        <v>103.11451650729964</v>
      </c>
      <c r="AZ689" s="966">
        <f t="shared" si="390"/>
        <v>97.701799760863395</v>
      </c>
      <c r="BA689" s="966">
        <f t="shared" si="391"/>
        <v>108.60142294345788</v>
      </c>
      <c r="BB689" s="966">
        <f t="shared" si="392"/>
        <v>105.54003791095403</v>
      </c>
      <c r="BC689" s="966">
        <f t="shared" si="393"/>
        <v>100</v>
      </c>
      <c r="BD689" s="966">
        <f t="shared" si="394"/>
        <v>106.16078289011108</v>
      </c>
      <c r="BE689" s="966">
        <f t="shared" si="395"/>
        <v>105.54003791095403</v>
      </c>
      <c r="BF689" s="966">
        <f t="shared" si="396"/>
        <v>100.81196112301079</v>
      </c>
      <c r="BG689" s="966">
        <f t="shared" si="397"/>
        <v>107.20641685930468</v>
      </c>
      <c r="BH689" s="966">
        <f t="shared" si="398"/>
        <v>104.68999584501093</v>
      </c>
      <c r="BI689" s="966">
        <f t="shared" si="399"/>
        <v>99.736993928183324</v>
      </c>
      <c r="BJ689" s="966">
        <f t="shared" si="400"/>
        <v>100.08774561603819</v>
      </c>
      <c r="BK689" s="966">
        <f t="shared" si="401"/>
        <v>106.71613610628607</v>
      </c>
      <c r="BL689" s="966">
        <f t="shared" si="402"/>
        <v>104.96606296395305</v>
      </c>
      <c r="BM689" s="966">
        <v>104.87404059097236</v>
      </c>
      <c r="BN689" s="966">
        <v>104.83376875295593</v>
      </c>
    </row>
    <row r="690" spans="1:66">
      <c r="A690" s="937"/>
      <c r="B690" s="947"/>
      <c r="C690" s="959" t="s">
        <v>1688</v>
      </c>
      <c r="D690" s="935"/>
      <c r="E690" s="758"/>
      <c r="F690" s="758"/>
      <c r="G690" s="933"/>
      <c r="H690" s="958">
        <f t="shared" ref="H690:AF690" si="412">+H404</f>
        <v>100</v>
      </c>
      <c r="I690" s="958">
        <f t="shared" si="412"/>
        <v>102.03311742029489</v>
      </c>
      <c r="J690" s="958">
        <f t="shared" si="412"/>
        <v>102.3084621152188</v>
      </c>
      <c r="K690" s="958">
        <f t="shared" si="412"/>
        <v>103.02242061151496</v>
      </c>
      <c r="L690" s="958">
        <f t="shared" si="412"/>
        <v>101.59450361892262</v>
      </c>
      <c r="M690" s="958">
        <f t="shared" si="412"/>
        <v>100.83271112090041</v>
      </c>
      <c r="N690" s="958">
        <f t="shared" si="412"/>
        <v>100.83271112090041</v>
      </c>
      <c r="O690" s="958">
        <f t="shared" si="412"/>
        <v>100.83271112090041</v>
      </c>
      <c r="P690" s="958">
        <f t="shared" si="412"/>
        <v>103.05831300327532</v>
      </c>
      <c r="Q690" s="958">
        <f t="shared" si="412"/>
        <v>103.05831300327532</v>
      </c>
      <c r="R690" s="958">
        <f t="shared" si="412"/>
        <v>103.05831300327532</v>
      </c>
      <c r="S690" s="958">
        <f t="shared" si="412"/>
        <v>103.05831300327532</v>
      </c>
      <c r="T690" s="958">
        <f t="shared" si="412"/>
        <v>103.05831300327532</v>
      </c>
      <c r="U690" s="958">
        <f t="shared" si="412"/>
        <v>106.11352487862369</v>
      </c>
      <c r="V690" s="958">
        <f t="shared" si="412"/>
        <v>110.07898753411027</v>
      </c>
      <c r="W690" s="958">
        <f t="shared" si="412"/>
        <v>115.49788491985662</v>
      </c>
      <c r="X690" s="958">
        <f t="shared" si="412"/>
        <v>115.74860571884768</v>
      </c>
      <c r="Y690" s="958">
        <f t="shared" si="412"/>
        <v>115.74860571884768</v>
      </c>
      <c r="Z690" s="958">
        <f t="shared" si="412"/>
        <v>115.24583623618931</v>
      </c>
      <c r="AA690" s="958">
        <f t="shared" si="412"/>
        <v>117.55429835140808</v>
      </c>
      <c r="AB690" s="958">
        <f t="shared" si="412"/>
        <v>115.24583623618931</v>
      </c>
      <c r="AC690" s="958">
        <f t="shared" si="412"/>
        <v>115.24583623618931</v>
      </c>
      <c r="AD690" s="958">
        <f t="shared" si="412"/>
        <v>115.24583623618931</v>
      </c>
      <c r="AE690" s="958">
        <f t="shared" si="412"/>
        <v>115.93171447764664</v>
      </c>
      <c r="AF690" s="958">
        <f t="shared" si="412"/>
        <v>115.93171447764664</v>
      </c>
      <c r="AG690" s="958">
        <f t="shared" si="371"/>
        <v>112.4913760949708</v>
      </c>
      <c r="AH690" s="958">
        <f t="shared" si="372"/>
        <v>100</v>
      </c>
      <c r="AI690" s="958">
        <f t="shared" si="373"/>
        <v>112.4913760949708</v>
      </c>
      <c r="AJ690" s="958">
        <f t="shared" si="374"/>
        <v>112.4913760949708</v>
      </c>
      <c r="AK690" s="958">
        <f t="shared" si="375"/>
        <v>100.59514361981084</v>
      </c>
      <c r="AL690" s="958">
        <f t="shared" si="376"/>
        <v>111.82585167343721</v>
      </c>
      <c r="AM690" s="958">
        <f t="shared" si="377"/>
        <v>111.82585167343721</v>
      </c>
      <c r="AN690" s="958">
        <f t="shared" si="378"/>
        <v>100</v>
      </c>
      <c r="AO690" s="958">
        <f t="shared" si="379"/>
        <v>111.82585167343721</v>
      </c>
      <c r="AP690" s="958">
        <f t="shared" si="380"/>
        <v>111.82585167343721</v>
      </c>
      <c r="AQ690" s="958">
        <f t="shared" si="381"/>
        <v>100</v>
      </c>
      <c r="AR690" s="958">
        <f t="shared" si="382"/>
        <v>111.82585167343721</v>
      </c>
      <c r="AS690" s="958">
        <f t="shared" si="383"/>
        <v>111.82585167343721</v>
      </c>
      <c r="AT690" s="958">
        <f t="shared" si="384"/>
        <v>98.036258862846495</v>
      </c>
      <c r="AU690" s="958">
        <f t="shared" si="385"/>
        <v>116.58349462651871</v>
      </c>
      <c r="AV690" s="958">
        <f t="shared" si="386"/>
        <v>114.06580888595765</v>
      </c>
      <c r="AW690" s="958">
        <f t="shared" si="387"/>
        <v>102.00307637187666</v>
      </c>
      <c r="AX690" s="958">
        <f t="shared" si="388"/>
        <v>114.29409658340661</v>
      </c>
      <c r="AY690" s="958">
        <f t="shared" si="389"/>
        <v>111.82585167343721</v>
      </c>
      <c r="AZ690" s="958">
        <f t="shared" si="390"/>
        <v>99.56563668345207</v>
      </c>
      <c r="BA690" s="958">
        <f t="shared" si="391"/>
        <v>114.79271402319316</v>
      </c>
      <c r="BB690" s="958">
        <f t="shared" si="392"/>
        <v>112.31370119086759</v>
      </c>
      <c r="BC690" s="958">
        <f t="shared" si="393"/>
        <v>100</v>
      </c>
      <c r="BD690" s="958">
        <f t="shared" si="394"/>
        <v>113.93195654857138</v>
      </c>
      <c r="BE690" s="958">
        <f t="shared" si="395"/>
        <v>112.31370119086759</v>
      </c>
      <c r="BF690" s="958">
        <f t="shared" si="396"/>
        <v>100.21707826006082</v>
      </c>
      <c r="BG690" s="958">
        <f t="shared" si="397"/>
        <v>112.10946533219708</v>
      </c>
      <c r="BH690" s="958">
        <f t="shared" si="398"/>
        <v>112.07042067163077</v>
      </c>
      <c r="BI690" s="958">
        <f t="shared" si="399"/>
        <v>104.92273548942951</v>
      </c>
      <c r="BJ690" s="958">
        <f t="shared" si="400"/>
        <v>103.73700021747689</v>
      </c>
      <c r="BK690" s="958">
        <f t="shared" si="401"/>
        <v>107.59519325990883</v>
      </c>
      <c r="BL690" s="958">
        <f t="shared" si="402"/>
        <v>106.81233209262007</v>
      </c>
      <c r="BM690" s="958">
        <v>102.96454675640894</v>
      </c>
      <c r="BN690" s="958">
        <v>103.99910103846067</v>
      </c>
    </row>
    <row r="691" spans="1:66">
      <c r="A691" s="937"/>
      <c r="B691" s="936" t="s">
        <v>1687</v>
      </c>
      <c r="C691" s="947"/>
      <c r="D691" s="935"/>
      <c r="E691" s="758"/>
      <c r="F691" s="758"/>
      <c r="G691" s="933"/>
      <c r="H691" s="932">
        <f t="shared" ref="H691:AF691" si="413">+H411</f>
        <v>99.999999999999986</v>
      </c>
      <c r="I691" s="932">
        <f t="shared" si="413"/>
        <v>99.999999999999986</v>
      </c>
      <c r="J691" s="932">
        <f t="shared" si="413"/>
        <v>104.17968854863658</v>
      </c>
      <c r="K691" s="932">
        <f t="shared" si="413"/>
        <v>103.17973797892625</v>
      </c>
      <c r="L691" s="932">
        <f t="shared" si="413"/>
        <v>103.17973797892625</v>
      </c>
      <c r="M691" s="932">
        <f t="shared" si="413"/>
        <v>104.51837243433768</v>
      </c>
      <c r="N691" s="932">
        <f t="shared" si="413"/>
        <v>104.82964951523087</v>
      </c>
      <c r="O691" s="932">
        <f t="shared" si="413"/>
        <v>104.82964951523087</v>
      </c>
      <c r="P691" s="932">
        <f t="shared" si="413"/>
        <v>101.3935669649034</v>
      </c>
      <c r="Q691" s="932">
        <f t="shared" si="413"/>
        <v>101.3935669649034</v>
      </c>
      <c r="R691" s="932">
        <f t="shared" si="413"/>
        <v>101.3935669649034</v>
      </c>
      <c r="S691" s="932">
        <f t="shared" si="413"/>
        <v>101.3935669649034</v>
      </c>
      <c r="T691" s="932">
        <f t="shared" si="413"/>
        <v>103.10722943007409</v>
      </c>
      <c r="U691" s="932">
        <f t="shared" si="413"/>
        <v>108.04814702056652</v>
      </c>
      <c r="V691" s="932">
        <f t="shared" si="413"/>
        <v>108.94280799412003</v>
      </c>
      <c r="W691" s="932">
        <f t="shared" si="413"/>
        <v>114.1198294541128</v>
      </c>
      <c r="X691" s="932">
        <f t="shared" si="413"/>
        <v>118.38133008794914</v>
      </c>
      <c r="Y691" s="932">
        <f t="shared" si="413"/>
        <v>117.83201759225527</v>
      </c>
      <c r="Z691" s="932">
        <f t="shared" si="413"/>
        <v>125.62953070705535</v>
      </c>
      <c r="AA691" s="932">
        <f t="shared" si="413"/>
        <v>126.6436477187307</v>
      </c>
      <c r="AB691" s="932">
        <f t="shared" si="413"/>
        <v>131.75702105161395</v>
      </c>
      <c r="AC691" s="932">
        <f t="shared" si="413"/>
        <v>129.7287870282633</v>
      </c>
      <c r="AD691" s="932">
        <f t="shared" si="413"/>
        <v>129.7287870282633</v>
      </c>
      <c r="AE691" s="932">
        <f t="shared" si="413"/>
        <v>131.2288723112045</v>
      </c>
      <c r="AF691" s="932">
        <f t="shared" si="413"/>
        <v>133.28070482146407</v>
      </c>
      <c r="AG691" s="932">
        <f t="shared" si="371"/>
        <v>129.26417047395617</v>
      </c>
      <c r="AH691" s="932">
        <f t="shared" si="372"/>
        <v>101.56355264975052</v>
      </c>
      <c r="AI691" s="932">
        <f t="shared" si="373"/>
        <v>129.42524485466456</v>
      </c>
      <c r="AJ691" s="932">
        <f t="shared" si="374"/>
        <v>127.27417178850891</v>
      </c>
      <c r="AK691" s="932">
        <f t="shared" si="375"/>
        <v>101.15632414154491</v>
      </c>
      <c r="AL691" s="932">
        <f t="shared" si="376"/>
        <v>127.94577694773072</v>
      </c>
      <c r="AM691" s="932">
        <f t="shared" si="377"/>
        <v>125.81929292964233</v>
      </c>
      <c r="AN691" s="932">
        <f t="shared" si="378"/>
        <v>100</v>
      </c>
      <c r="AO691" s="932">
        <f t="shared" si="379"/>
        <v>127.94577694773072</v>
      </c>
      <c r="AP691" s="932">
        <f t="shared" si="380"/>
        <v>125.81929292964233</v>
      </c>
      <c r="AQ691" s="932">
        <f t="shared" si="381"/>
        <v>98.460625470155321</v>
      </c>
      <c r="AR691" s="932">
        <f t="shared" si="382"/>
        <v>129.94613464700438</v>
      </c>
      <c r="AS691" s="932">
        <f t="shared" si="383"/>
        <v>127.7864042898852</v>
      </c>
      <c r="AT691" s="932">
        <f t="shared" si="384"/>
        <v>104.03760743234417</v>
      </c>
      <c r="AU691" s="932">
        <f t="shared" si="385"/>
        <v>120.80899660007969</v>
      </c>
      <c r="AV691" s="932">
        <f t="shared" si="386"/>
        <v>122.82712707804713</v>
      </c>
      <c r="AW691" s="932">
        <f t="shared" si="387"/>
        <v>100.80722820977503</v>
      </c>
      <c r="AX691" s="932">
        <f t="shared" si="388"/>
        <v>119.84160138664055</v>
      </c>
      <c r="AY691" s="932">
        <f t="shared" si="389"/>
        <v>121.84357139792567</v>
      </c>
      <c r="AZ691" s="932">
        <f t="shared" si="390"/>
        <v>106.61748247558869</v>
      </c>
      <c r="BA691" s="932">
        <f t="shared" si="391"/>
        <v>112.73809077564971</v>
      </c>
      <c r="BB691" s="932">
        <f t="shared" si="392"/>
        <v>114.28104337937557</v>
      </c>
      <c r="BC691" s="932">
        <f t="shared" si="393"/>
        <v>99.535980466441984</v>
      </c>
      <c r="BD691" s="932">
        <f t="shared" si="394"/>
        <v>114.73311757404123</v>
      </c>
      <c r="BE691" s="932">
        <f t="shared" si="395"/>
        <v>114.81380184716703</v>
      </c>
      <c r="BF691" s="932">
        <f t="shared" si="396"/>
        <v>103.73423326535014</v>
      </c>
      <c r="BG691" s="932">
        <f t="shared" si="397"/>
        <v>110.60294558745728</v>
      </c>
      <c r="BH691" s="932">
        <f t="shared" si="398"/>
        <v>110.68072538163516</v>
      </c>
      <c r="BI691" s="932">
        <f t="shared" si="399"/>
        <v>104.75205436257178</v>
      </c>
      <c r="BJ691" s="932">
        <f t="shared" si="400"/>
        <v>100.82802065396199</v>
      </c>
      <c r="BK691" s="932">
        <f t="shared" si="401"/>
        <v>104.57202311874812</v>
      </c>
      <c r="BL691" s="932">
        <f t="shared" si="402"/>
        <v>105.65971813645089</v>
      </c>
      <c r="BM691" s="932">
        <v>104.7920185789138</v>
      </c>
      <c r="BN691" s="932">
        <v>108.04814702056653</v>
      </c>
    </row>
    <row r="692" spans="1:66">
      <c r="A692" s="937"/>
      <c r="B692" s="936"/>
      <c r="C692" s="964" t="s">
        <v>1686</v>
      </c>
      <c r="D692" s="964"/>
      <c r="E692" s="964"/>
      <c r="F692" s="758"/>
      <c r="G692" s="933"/>
      <c r="H692" s="963">
        <f t="shared" ref="H692:AF692" si="414">+H412</f>
        <v>100</v>
      </c>
      <c r="I692" s="963">
        <f t="shared" si="414"/>
        <v>100</v>
      </c>
      <c r="J692" s="963">
        <f t="shared" si="414"/>
        <v>104.97320075743568</v>
      </c>
      <c r="K692" s="963">
        <f t="shared" si="414"/>
        <v>102.96471480004179</v>
      </c>
      <c r="L692" s="963">
        <f t="shared" si="414"/>
        <v>102.96471480004179</v>
      </c>
      <c r="M692" s="963">
        <f t="shared" si="414"/>
        <v>102.96471480004179</v>
      </c>
      <c r="N692" s="963">
        <f t="shared" si="414"/>
        <v>103.58994135100383</v>
      </c>
      <c r="O692" s="963">
        <f t="shared" si="414"/>
        <v>103.58994135100383</v>
      </c>
      <c r="P692" s="963">
        <f t="shared" si="414"/>
        <v>100.76215757626215</v>
      </c>
      <c r="Q692" s="963">
        <f t="shared" si="414"/>
        <v>100.76215757626215</v>
      </c>
      <c r="R692" s="963">
        <f t="shared" si="414"/>
        <v>100.76215757626215</v>
      </c>
      <c r="S692" s="963">
        <f t="shared" si="414"/>
        <v>100.76215757626215</v>
      </c>
      <c r="T692" s="963">
        <f t="shared" si="414"/>
        <v>104.20419471416322</v>
      </c>
      <c r="U692" s="963">
        <f t="shared" si="414"/>
        <v>109.3540161038171</v>
      </c>
      <c r="V692" s="963">
        <f t="shared" si="414"/>
        <v>110.08957675200774</v>
      </c>
      <c r="W692" s="963">
        <f t="shared" si="414"/>
        <v>111.19291772429371</v>
      </c>
      <c r="X692" s="963">
        <f t="shared" si="414"/>
        <v>110.45735707610307</v>
      </c>
      <c r="Y692" s="963">
        <f t="shared" si="414"/>
        <v>109.3540161038171</v>
      </c>
      <c r="Z692" s="963">
        <f t="shared" si="414"/>
        <v>106.51163390679977</v>
      </c>
      <c r="AA692" s="963">
        <f t="shared" si="414"/>
        <v>106.51163390679977</v>
      </c>
      <c r="AB692" s="963">
        <f t="shared" si="414"/>
        <v>106.51163390679977</v>
      </c>
      <c r="AC692" s="963">
        <f t="shared" si="414"/>
        <v>106.51163390679977</v>
      </c>
      <c r="AD692" s="963">
        <f t="shared" si="414"/>
        <v>106.51163390679977</v>
      </c>
      <c r="AE692" s="963">
        <f t="shared" si="414"/>
        <v>107.45909463913887</v>
      </c>
      <c r="AF692" s="963">
        <f t="shared" si="414"/>
        <v>108.70001052430942</v>
      </c>
      <c r="AG692" s="963">
        <f t="shared" si="371"/>
        <v>104.31442882167885</v>
      </c>
      <c r="AH692" s="963">
        <f t="shared" si="372"/>
        <v>101.1547797693045</v>
      </c>
      <c r="AI692" s="963">
        <f t="shared" si="373"/>
        <v>106.64628192167096</v>
      </c>
      <c r="AJ692" s="963">
        <f t="shared" si="374"/>
        <v>103.12357859863894</v>
      </c>
      <c r="AK692" s="963">
        <f t="shared" si="375"/>
        <v>100.88953731868216</v>
      </c>
      <c r="AL692" s="963">
        <f t="shared" si="376"/>
        <v>105.70598771288329</v>
      </c>
      <c r="AM692" s="963">
        <f t="shared" si="377"/>
        <v>102.21434386491441</v>
      </c>
      <c r="AN692" s="963">
        <f t="shared" si="378"/>
        <v>100</v>
      </c>
      <c r="AO692" s="963">
        <f t="shared" si="379"/>
        <v>105.70598771288329</v>
      </c>
      <c r="AP692" s="963">
        <f t="shared" si="380"/>
        <v>102.21434386491441</v>
      </c>
      <c r="AQ692" s="963">
        <f t="shared" si="381"/>
        <v>100</v>
      </c>
      <c r="AR692" s="963">
        <f t="shared" si="382"/>
        <v>105.70598771288329</v>
      </c>
      <c r="AS692" s="963">
        <f t="shared" si="383"/>
        <v>102.21434386491441</v>
      </c>
      <c r="AT692" s="963">
        <f t="shared" si="384"/>
        <v>100</v>
      </c>
      <c r="AU692" s="963">
        <f t="shared" si="385"/>
        <v>102.82044039960994</v>
      </c>
      <c r="AV692" s="963">
        <f t="shared" si="386"/>
        <v>102.21434386491441</v>
      </c>
      <c r="AW692" s="963">
        <f t="shared" si="387"/>
        <v>100</v>
      </c>
      <c r="AX692" s="963">
        <f t="shared" si="388"/>
        <v>102.82044039960994</v>
      </c>
      <c r="AY692" s="963">
        <f t="shared" si="389"/>
        <v>102.21434386491441</v>
      </c>
      <c r="AZ692" s="963">
        <f t="shared" si="390"/>
        <v>97.400751889789888</v>
      </c>
      <c r="BA692" s="963">
        <f t="shared" si="391"/>
        <v>106.2053309390342</v>
      </c>
      <c r="BB692" s="963">
        <f t="shared" si="392"/>
        <v>104.94204806608801</v>
      </c>
      <c r="BC692" s="963">
        <f t="shared" si="393"/>
        <v>99.001115904370423</v>
      </c>
      <c r="BD692" s="963">
        <f t="shared" si="394"/>
        <v>107.27690285998659</v>
      </c>
      <c r="BE692" s="963">
        <f t="shared" si="395"/>
        <v>106.00087393707378</v>
      </c>
      <c r="BF692" s="963">
        <f t="shared" si="396"/>
        <v>99.338482465210163</v>
      </c>
      <c r="BG692" s="963">
        <f t="shared" si="397"/>
        <v>107.99128414062152</v>
      </c>
      <c r="BH692" s="963">
        <f t="shared" si="398"/>
        <v>106.70675785106431</v>
      </c>
      <c r="BI692" s="963">
        <f t="shared" si="399"/>
        <v>101.0022211047022</v>
      </c>
      <c r="BJ692" s="962">
        <f t="shared" si="400"/>
        <v>100.67264164079015</v>
      </c>
      <c r="BK692" s="962">
        <f t="shared" si="401"/>
        <v>104.87398303343593</v>
      </c>
      <c r="BL692" s="962">
        <f t="shared" si="402"/>
        <v>105.64793198007854</v>
      </c>
      <c r="BM692" s="962">
        <v>104.94204806608801</v>
      </c>
      <c r="BN692" s="962">
        <v>109.3540161038171</v>
      </c>
    </row>
    <row r="693" spans="1:66">
      <c r="A693" s="937"/>
      <c r="B693" s="936"/>
      <c r="C693" s="964" t="s">
        <v>1685</v>
      </c>
      <c r="D693" s="964"/>
      <c r="E693" s="964"/>
      <c r="F693" s="758"/>
      <c r="G693" s="933"/>
      <c r="H693" s="963">
        <f t="shared" ref="H693:AF693" si="415">+H416</f>
        <v>99.999999999999986</v>
      </c>
      <c r="I693" s="963">
        <f t="shared" si="415"/>
        <v>99.999999999999986</v>
      </c>
      <c r="J693" s="963">
        <f t="shared" si="415"/>
        <v>103.39293084538612</v>
      </c>
      <c r="K693" s="963">
        <f t="shared" si="415"/>
        <v>103.39293084538612</v>
      </c>
      <c r="L693" s="963">
        <f t="shared" si="415"/>
        <v>103.39293084538612</v>
      </c>
      <c r="M693" s="963">
        <f t="shared" si="415"/>
        <v>106.05880508104663</v>
      </c>
      <c r="N693" s="963">
        <f t="shared" si="415"/>
        <v>106.05880508104663</v>
      </c>
      <c r="O693" s="963">
        <f t="shared" si="415"/>
        <v>106.05880508104663</v>
      </c>
      <c r="P693" s="963">
        <f t="shared" si="415"/>
        <v>102.01960169368219</v>
      </c>
      <c r="Q693" s="963">
        <f t="shared" si="415"/>
        <v>102.01960169368219</v>
      </c>
      <c r="R693" s="963">
        <f t="shared" si="415"/>
        <v>102.01960169368219</v>
      </c>
      <c r="S693" s="963">
        <f t="shared" si="415"/>
        <v>102.01960169368219</v>
      </c>
      <c r="T693" s="963">
        <f t="shared" si="415"/>
        <v>102.01960169368219</v>
      </c>
      <c r="U693" s="963">
        <f t="shared" si="415"/>
        <v>106.75339370827795</v>
      </c>
      <c r="V693" s="963">
        <f t="shared" si="415"/>
        <v>107.80580071923441</v>
      </c>
      <c r="W693" s="963">
        <f t="shared" si="415"/>
        <v>117.02182683315054</v>
      </c>
      <c r="X693" s="963">
        <f t="shared" si="415"/>
        <v>126.23785294706666</v>
      </c>
      <c r="Y693" s="963">
        <f t="shared" si="415"/>
        <v>126.23785294706666</v>
      </c>
      <c r="Z693" s="963">
        <f t="shared" si="415"/>
        <v>144.58469284666816</v>
      </c>
      <c r="AA693" s="963">
        <f t="shared" si="415"/>
        <v>146.60429454035039</v>
      </c>
      <c r="AB693" s="963">
        <f t="shared" si="415"/>
        <v>156.78751533699221</v>
      </c>
      <c r="AC693" s="963">
        <f t="shared" si="415"/>
        <v>152.74831194962778</v>
      </c>
      <c r="AD693" s="963">
        <f t="shared" si="415"/>
        <v>152.74831194962778</v>
      </c>
      <c r="AE693" s="963">
        <f t="shared" si="415"/>
        <v>154.79631775272023</v>
      </c>
      <c r="AF693" s="963">
        <f t="shared" si="415"/>
        <v>157.65216423328559</v>
      </c>
      <c r="AG693" s="963">
        <f t="shared" si="371"/>
        <v>154.53124852088948</v>
      </c>
      <c r="AH693" s="963">
        <f t="shared" si="372"/>
        <v>101.84490595256112</v>
      </c>
      <c r="AI693" s="963">
        <f t="shared" si="373"/>
        <v>151.73193698354379</v>
      </c>
      <c r="AJ693" s="963">
        <f t="shared" si="374"/>
        <v>151.73193698354379</v>
      </c>
      <c r="AK693" s="963">
        <f t="shared" si="375"/>
        <v>101.34077148019011</v>
      </c>
      <c r="AL693" s="963">
        <f t="shared" si="376"/>
        <v>149.7244739381168</v>
      </c>
      <c r="AM693" s="963">
        <f t="shared" si="377"/>
        <v>149.7244739381168</v>
      </c>
      <c r="AN693" s="963">
        <f t="shared" si="378"/>
        <v>100</v>
      </c>
      <c r="AO693" s="963">
        <f t="shared" si="379"/>
        <v>149.7244739381168</v>
      </c>
      <c r="AP693" s="963">
        <f t="shared" si="380"/>
        <v>149.7244739381168</v>
      </c>
      <c r="AQ693" s="963">
        <f t="shared" si="381"/>
        <v>97.42377230822062</v>
      </c>
      <c r="AR693" s="963">
        <f t="shared" si="382"/>
        <v>153.68371639771033</v>
      </c>
      <c r="AS693" s="963">
        <f t="shared" si="383"/>
        <v>153.68371639771033</v>
      </c>
      <c r="AT693" s="963">
        <f t="shared" si="384"/>
        <v>106.94605900091084</v>
      </c>
      <c r="AU693" s="963">
        <f t="shared" si="385"/>
        <v>138.22925350546825</v>
      </c>
      <c r="AV693" s="963">
        <f t="shared" si="386"/>
        <v>143.70208480183589</v>
      </c>
      <c r="AW693" s="963">
        <f t="shared" si="387"/>
        <v>101.39682953563003</v>
      </c>
      <c r="AX693" s="963">
        <f t="shared" si="388"/>
        <v>136.32502528779324</v>
      </c>
      <c r="AY693" s="963">
        <f t="shared" si="389"/>
        <v>141.72246357203912</v>
      </c>
      <c r="AZ693" s="963">
        <f t="shared" si="390"/>
        <v>114.53354875046442</v>
      </c>
      <c r="BA693" s="963">
        <f t="shared" si="391"/>
        <v>119.02628249545133</v>
      </c>
      <c r="BB693" s="963">
        <f t="shared" si="392"/>
        <v>123.73882161008696</v>
      </c>
      <c r="BC693" s="963">
        <f t="shared" si="393"/>
        <v>100</v>
      </c>
      <c r="BD693" s="963">
        <f t="shared" si="394"/>
        <v>122.09524569512674</v>
      </c>
      <c r="BE693" s="963">
        <f t="shared" si="395"/>
        <v>123.73882161008696</v>
      </c>
      <c r="BF693" s="963">
        <f t="shared" si="396"/>
        <v>107.87547619390381</v>
      </c>
      <c r="BG693" s="963">
        <f t="shared" si="397"/>
        <v>113.18165166257361</v>
      </c>
      <c r="BH693" s="963">
        <f t="shared" si="398"/>
        <v>114.70523790566554</v>
      </c>
      <c r="BI693" s="963">
        <f t="shared" si="399"/>
        <v>108.54872933778212</v>
      </c>
      <c r="BJ693" s="962">
        <f t="shared" si="400"/>
        <v>100.98583002787933</v>
      </c>
      <c r="BK693" s="962">
        <f t="shared" si="401"/>
        <v>104.26805763002048</v>
      </c>
      <c r="BL693" s="962">
        <f t="shared" si="402"/>
        <v>105.6716542012441</v>
      </c>
      <c r="BM693" s="962">
        <v>104.64008086290039</v>
      </c>
      <c r="BN693" s="962">
        <v>106.75339370827797</v>
      </c>
    </row>
    <row r="694" spans="1:66">
      <c r="A694" s="965" t="s">
        <v>1684</v>
      </c>
      <c r="B694" s="937"/>
      <c r="C694" s="758"/>
      <c r="D694" s="935"/>
      <c r="E694" s="758"/>
      <c r="F694" s="758"/>
      <c r="G694" s="933"/>
      <c r="H694" s="939">
        <f t="shared" ref="H694:AF694" si="416">+H419</f>
        <v>100</v>
      </c>
      <c r="I694" s="939">
        <f t="shared" si="416"/>
        <v>100</v>
      </c>
      <c r="J694" s="939">
        <f t="shared" si="416"/>
        <v>99.996139521730569</v>
      </c>
      <c r="K694" s="939">
        <f t="shared" si="416"/>
        <v>99.996139521730569</v>
      </c>
      <c r="L694" s="939">
        <f t="shared" si="416"/>
        <v>100.31417967329499</v>
      </c>
      <c r="M694" s="939">
        <f t="shared" si="416"/>
        <v>100.31417967329499</v>
      </c>
      <c r="N694" s="939">
        <f t="shared" si="416"/>
        <v>100.31417967329499</v>
      </c>
      <c r="O694" s="939">
        <f t="shared" si="416"/>
        <v>100.31417967329499</v>
      </c>
      <c r="P694" s="939">
        <f t="shared" si="416"/>
        <v>100.31417967329499</v>
      </c>
      <c r="Q694" s="939">
        <f t="shared" si="416"/>
        <v>100.31417967329499</v>
      </c>
      <c r="R694" s="939">
        <f t="shared" si="416"/>
        <v>100.31417967329499</v>
      </c>
      <c r="S694" s="939">
        <f t="shared" si="416"/>
        <v>100.31417967329499</v>
      </c>
      <c r="T694" s="939">
        <f t="shared" si="416"/>
        <v>100.31417967329499</v>
      </c>
      <c r="U694" s="939">
        <f t="shared" si="416"/>
        <v>103.31881369914214</v>
      </c>
      <c r="V694" s="939">
        <f t="shared" si="416"/>
        <v>103.5488539761308</v>
      </c>
      <c r="W694" s="939">
        <f t="shared" si="416"/>
        <v>103.09482543953949</v>
      </c>
      <c r="X694" s="939">
        <f t="shared" si="416"/>
        <v>103.09482543953949</v>
      </c>
      <c r="Y694" s="939">
        <f t="shared" si="416"/>
        <v>102.98283130973817</v>
      </c>
      <c r="Z694" s="939">
        <f t="shared" si="416"/>
        <v>102.87083717993686</v>
      </c>
      <c r="AA694" s="939">
        <f t="shared" si="416"/>
        <v>102.87083717993686</v>
      </c>
      <c r="AB694" s="939">
        <f t="shared" si="416"/>
        <v>102.75884305013554</v>
      </c>
      <c r="AC694" s="939">
        <f t="shared" si="416"/>
        <v>139.94553076559689</v>
      </c>
      <c r="AD694" s="939">
        <f t="shared" si="416"/>
        <v>164.33401742591229</v>
      </c>
      <c r="AE694" s="939">
        <f t="shared" si="416"/>
        <v>168.43504456822006</v>
      </c>
      <c r="AF694" s="939">
        <f t="shared" si="416"/>
        <v>172.24155708946125</v>
      </c>
      <c r="AG694" s="939">
        <f t="shared" si="371"/>
        <v>171.70210398013583</v>
      </c>
      <c r="AH694" s="939">
        <f t="shared" si="372"/>
        <v>102.25992906108054</v>
      </c>
      <c r="AI694" s="939">
        <f t="shared" si="373"/>
        <v>167.90751329152303</v>
      </c>
      <c r="AJ694" s="939">
        <f t="shared" si="374"/>
        <v>167.90751329152303</v>
      </c>
      <c r="AK694" s="939">
        <f t="shared" si="375"/>
        <v>102.4955436534354</v>
      </c>
      <c r="AL694" s="939">
        <f t="shared" si="376"/>
        <v>163.81933038890239</v>
      </c>
      <c r="AM694" s="939">
        <f t="shared" si="377"/>
        <v>163.81933038890239</v>
      </c>
      <c r="AN694" s="939">
        <f t="shared" si="378"/>
        <v>117.42712791676438</v>
      </c>
      <c r="AO694" s="939">
        <f t="shared" si="379"/>
        <v>139.50722741428379</v>
      </c>
      <c r="AP694" s="939">
        <f t="shared" si="380"/>
        <v>139.50722741428379</v>
      </c>
      <c r="AQ694" s="939">
        <f t="shared" si="381"/>
        <v>136.18830906583693</v>
      </c>
      <c r="AR694" s="939">
        <f t="shared" si="382"/>
        <v>102.43700679684804</v>
      </c>
      <c r="AS694" s="939">
        <f t="shared" si="383"/>
        <v>102.43700679684804</v>
      </c>
      <c r="AT694" s="939">
        <f t="shared" si="384"/>
        <v>99.891131312943998</v>
      </c>
      <c r="AU694" s="939">
        <f t="shared" si="385"/>
        <v>102.54865016587729</v>
      </c>
      <c r="AV694" s="939">
        <f t="shared" si="386"/>
        <v>102.54865016587729</v>
      </c>
      <c r="AW694" s="939">
        <f t="shared" si="387"/>
        <v>100</v>
      </c>
      <c r="AX694" s="939">
        <f t="shared" si="388"/>
        <v>102.54865016587729</v>
      </c>
      <c r="AY694" s="939">
        <f t="shared" si="389"/>
        <v>102.54865016587729</v>
      </c>
      <c r="AZ694" s="939">
        <f t="shared" si="390"/>
        <v>99.891249707959105</v>
      </c>
      <c r="BA694" s="939">
        <f t="shared" si="391"/>
        <v>102.66029353490653</v>
      </c>
      <c r="BB694" s="939">
        <f t="shared" si="392"/>
        <v>102.66029353490653</v>
      </c>
      <c r="BC694" s="939">
        <f t="shared" si="393"/>
        <v>99.891367845744114</v>
      </c>
      <c r="BD694" s="939">
        <f t="shared" si="394"/>
        <v>102.77193690393578</v>
      </c>
      <c r="BE694" s="939">
        <f t="shared" si="395"/>
        <v>102.77193690393578</v>
      </c>
      <c r="BF694" s="939">
        <f t="shared" si="396"/>
        <v>100</v>
      </c>
      <c r="BG694" s="939">
        <f t="shared" si="397"/>
        <v>103.09880554652366</v>
      </c>
      <c r="BH694" s="939">
        <f t="shared" si="398"/>
        <v>102.77193690393578</v>
      </c>
      <c r="BI694" s="939">
        <f t="shared" si="399"/>
        <v>99.561532050662805</v>
      </c>
      <c r="BJ694" s="939">
        <f t="shared" si="400"/>
        <v>100.2226509081478</v>
      </c>
      <c r="BK694" s="939">
        <f t="shared" si="401"/>
        <v>103.55285161146463</v>
      </c>
      <c r="BL694" s="939">
        <f t="shared" si="402"/>
        <v>103.22454344278202</v>
      </c>
      <c r="BM694" s="939">
        <v>102.99522364199427</v>
      </c>
      <c r="BN694" s="939">
        <v>103.31881369914213</v>
      </c>
    </row>
    <row r="695" spans="1:66">
      <c r="A695" s="937"/>
      <c r="B695" s="936" t="s">
        <v>1683</v>
      </c>
      <c r="C695" s="947"/>
      <c r="D695" s="935"/>
      <c r="E695" s="758"/>
      <c r="F695" s="758"/>
      <c r="G695" s="933"/>
      <c r="H695" s="932">
        <f t="shared" ref="H695:AF695" si="417">+H420</f>
        <v>100</v>
      </c>
      <c r="I695" s="932">
        <f t="shared" si="417"/>
        <v>100</v>
      </c>
      <c r="J695" s="932">
        <f t="shared" si="417"/>
        <v>99.992333462190544</v>
      </c>
      <c r="K695" s="932">
        <f t="shared" si="417"/>
        <v>99.992333462190544</v>
      </c>
      <c r="L695" s="932">
        <f t="shared" si="417"/>
        <v>100.62393055372431</v>
      </c>
      <c r="M695" s="932">
        <f t="shared" si="417"/>
        <v>100.62393055372431</v>
      </c>
      <c r="N695" s="932">
        <f t="shared" si="417"/>
        <v>100.62393055372431</v>
      </c>
      <c r="O695" s="932">
        <f t="shared" si="417"/>
        <v>100.62393055372431</v>
      </c>
      <c r="P695" s="932">
        <f t="shared" si="417"/>
        <v>100.62393055372431</v>
      </c>
      <c r="Q695" s="932">
        <f t="shared" si="417"/>
        <v>100.62393055372431</v>
      </c>
      <c r="R695" s="932">
        <f t="shared" si="417"/>
        <v>100.62393055372431</v>
      </c>
      <c r="S695" s="932">
        <f t="shared" si="417"/>
        <v>100.62393055372431</v>
      </c>
      <c r="T695" s="932">
        <f t="shared" si="417"/>
        <v>100.62393055372431</v>
      </c>
      <c r="U695" s="932">
        <f t="shared" si="417"/>
        <v>100.62393055372431</v>
      </c>
      <c r="V695" s="932">
        <f t="shared" si="417"/>
        <v>100.75737628308286</v>
      </c>
      <c r="W695" s="932">
        <f t="shared" si="417"/>
        <v>100.17911145586243</v>
      </c>
      <c r="X695" s="932">
        <f t="shared" si="417"/>
        <v>100.17911145586243</v>
      </c>
      <c r="Y695" s="932">
        <f t="shared" si="417"/>
        <v>99.956701906931485</v>
      </c>
      <c r="Z695" s="932">
        <f t="shared" si="417"/>
        <v>99.734292358000559</v>
      </c>
      <c r="AA695" s="932">
        <f t="shared" si="417"/>
        <v>99.734292358000559</v>
      </c>
      <c r="AB695" s="932">
        <f t="shared" si="417"/>
        <v>99.511882809069633</v>
      </c>
      <c r="AC695" s="932">
        <f t="shared" si="417"/>
        <v>131.09173738575791</v>
      </c>
      <c r="AD695" s="932">
        <f t="shared" si="417"/>
        <v>152.42334618386553</v>
      </c>
      <c r="AE695" s="932">
        <f t="shared" si="417"/>
        <v>148.63376363466293</v>
      </c>
      <c r="AF695" s="932">
        <f t="shared" si="417"/>
        <v>147.69825902353227</v>
      </c>
      <c r="AG695" s="932">
        <f t="shared" si="371"/>
        <v>146.78243854196734</v>
      </c>
      <c r="AH695" s="932">
        <f t="shared" si="372"/>
        <v>99.370597508766522</v>
      </c>
      <c r="AI695" s="932">
        <f t="shared" si="373"/>
        <v>147.7121424463792</v>
      </c>
      <c r="AJ695" s="932">
        <f t="shared" si="374"/>
        <v>147.7121424463792</v>
      </c>
      <c r="AK695" s="932">
        <f t="shared" si="375"/>
        <v>97.513778142207101</v>
      </c>
      <c r="AL695" s="932">
        <f t="shared" si="376"/>
        <v>151.47822724186361</v>
      </c>
      <c r="AM695" s="932">
        <f t="shared" si="377"/>
        <v>151.47822724186361</v>
      </c>
      <c r="AN695" s="932">
        <f t="shared" si="378"/>
        <v>116.2722756014256</v>
      </c>
      <c r="AO695" s="932">
        <f t="shared" si="379"/>
        <v>130.27888760096334</v>
      </c>
      <c r="AP695" s="932">
        <f t="shared" si="380"/>
        <v>130.27888760096334</v>
      </c>
      <c r="AQ695" s="932">
        <f t="shared" si="381"/>
        <v>131.73475738297464</v>
      </c>
      <c r="AR695" s="932">
        <f t="shared" si="382"/>
        <v>98.894847638593347</v>
      </c>
      <c r="AS695" s="932">
        <f t="shared" si="383"/>
        <v>98.894847638593347</v>
      </c>
      <c r="AT695" s="932">
        <f t="shared" si="384"/>
        <v>99.776997917494043</v>
      </c>
      <c r="AU695" s="932">
        <f t="shared" si="385"/>
        <v>99.115878110874661</v>
      </c>
      <c r="AV695" s="932">
        <f t="shared" si="386"/>
        <v>99.115878110874661</v>
      </c>
      <c r="AW695" s="932">
        <f t="shared" si="387"/>
        <v>100</v>
      </c>
      <c r="AX695" s="932">
        <f t="shared" si="388"/>
        <v>99.115878110874661</v>
      </c>
      <c r="AY695" s="932">
        <f t="shared" si="389"/>
        <v>99.115878110874661</v>
      </c>
      <c r="AZ695" s="932">
        <f t="shared" si="390"/>
        <v>99.777494110261856</v>
      </c>
      <c r="BA695" s="932">
        <f t="shared" si="391"/>
        <v>99.336908583155989</v>
      </c>
      <c r="BB695" s="932">
        <f t="shared" si="392"/>
        <v>99.336908583155989</v>
      </c>
      <c r="BC695" s="932">
        <f t="shared" si="393"/>
        <v>99.777988099815659</v>
      </c>
      <c r="BD695" s="932">
        <f t="shared" si="394"/>
        <v>99.55793905543733</v>
      </c>
      <c r="BE695" s="932">
        <f t="shared" si="395"/>
        <v>99.55793905543733</v>
      </c>
      <c r="BF695" s="932">
        <f t="shared" si="396"/>
        <v>100</v>
      </c>
      <c r="BG695" s="932">
        <f t="shared" si="397"/>
        <v>100.18679231417526</v>
      </c>
      <c r="BH695" s="932">
        <f t="shared" si="398"/>
        <v>99.55793905543733</v>
      </c>
      <c r="BI695" s="932">
        <f t="shared" si="399"/>
        <v>99.426081892410764</v>
      </c>
      <c r="BJ695" s="932">
        <f t="shared" si="400"/>
        <v>100.13261828336879</v>
      </c>
      <c r="BK695" s="932">
        <f t="shared" si="401"/>
        <v>100.76510147768639</v>
      </c>
      <c r="BL695" s="932">
        <f t="shared" si="402"/>
        <v>100.13261828336879</v>
      </c>
      <c r="BM695" s="932">
        <v>100</v>
      </c>
      <c r="BN695" s="932">
        <v>100.62393055372432</v>
      </c>
    </row>
    <row r="696" spans="1:66">
      <c r="A696" s="937"/>
      <c r="B696" s="936"/>
      <c r="C696" s="964" t="s">
        <v>1682</v>
      </c>
      <c r="D696" s="964"/>
      <c r="E696" s="964"/>
      <c r="F696" s="758"/>
      <c r="G696" s="933"/>
      <c r="H696" s="963">
        <f t="shared" ref="H696:AF696" si="418">+H421</f>
        <v>100</v>
      </c>
      <c r="I696" s="963">
        <f t="shared" si="418"/>
        <v>100</v>
      </c>
      <c r="J696" s="963">
        <f t="shared" si="418"/>
        <v>100.23009565218555</v>
      </c>
      <c r="K696" s="963">
        <f t="shared" si="418"/>
        <v>100.23009565218555</v>
      </c>
      <c r="L696" s="963">
        <f t="shared" si="418"/>
        <v>100.90684757037832</v>
      </c>
      <c r="M696" s="963">
        <f t="shared" si="418"/>
        <v>100.90684757037832</v>
      </c>
      <c r="N696" s="963">
        <f t="shared" si="418"/>
        <v>100.90684757037832</v>
      </c>
      <c r="O696" s="963">
        <f t="shared" si="418"/>
        <v>100.90684757037832</v>
      </c>
      <c r="P696" s="963">
        <f t="shared" si="418"/>
        <v>100.90684757037832</v>
      </c>
      <c r="Q696" s="963">
        <f t="shared" si="418"/>
        <v>100.90684757037832</v>
      </c>
      <c r="R696" s="963">
        <f t="shared" si="418"/>
        <v>100.90684757037832</v>
      </c>
      <c r="S696" s="963">
        <f t="shared" si="418"/>
        <v>100.90684757037832</v>
      </c>
      <c r="T696" s="963">
        <f t="shared" si="418"/>
        <v>100.90684757037832</v>
      </c>
      <c r="U696" s="963">
        <f t="shared" si="418"/>
        <v>100.90684757037832</v>
      </c>
      <c r="V696" s="963">
        <f t="shared" si="418"/>
        <v>100.90684757037832</v>
      </c>
      <c r="W696" s="963">
        <f t="shared" si="418"/>
        <v>100.90684757037832</v>
      </c>
      <c r="X696" s="963">
        <f t="shared" si="418"/>
        <v>100.90684757037832</v>
      </c>
      <c r="Y696" s="963">
        <f t="shared" si="418"/>
        <v>100.90684757037832</v>
      </c>
      <c r="Z696" s="963">
        <f t="shared" si="418"/>
        <v>100.90684757037832</v>
      </c>
      <c r="AA696" s="963">
        <f t="shared" si="418"/>
        <v>100.90684757037832</v>
      </c>
      <c r="AB696" s="963">
        <f t="shared" si="418"/>
        <v>100.90684757037832</v>
      </c>
      <c r="AC696" s="963">
        <f t="shared" si="418"/>
        <v>134.74444348001762</v>
      </c>
      <c r="AD696" s="963">
        <f t="shared" si="418"/>
        <v>157.60111487031912</v>
      </c>
      <c r="AE696" s="963">
        <f t="shared" si="418"/>
        <v>153.5406033611624</v>
      </c>
      <c r="AF696" s="963">
        <f t="shared" si="418"/>
        <v>152.53821663622762</v>
      </c>
      <c r="AG696" s="963">
        <f t="shared" si="371"/>
        <v>151.16735911290715</v>
      </c>
      <c r="AH696" s="963">
        <f t="shared" si="372"/>
        <v>99.347152021685787</v>
      </c>
      <c r="AI696" s="963">
        <f t="shared" si="373"/>
        <v>152.16073741088206</v>
      </c>
      <c r="AJ696" s="963">
        <f t="shared" si="374"/>
        <v>152.16073741088206</v>
      </c>
      <c r="AK696" s="963">
        <f t="shared" si="375"/>
        <v>97.423551532298561</v>
      </c>
      <c r="AL696" s="963">
        <f t="shared" si="376"/>
        <v>156.18475719440045</v>
      </c>
      <c r="AM696" s="963">
        <f t="shared" si="377"/>
        <v>156.18475719440045</v>
      </c>
      <c r="AN696" s="963">
        <f t="shared" si="378"/>
        <v>116.96297880638849</v>
      </c>
      <c r="AO696" s="963">
        <f t="shared" si="379"/>
        <v>133.53349819598614</v>
      </c>
      <c r="AP696" s="963">
        <f t="shared" si="380"/>
        <v>133.53349819598614</v>
      </c>
      <c r="AQ696" s="963">
        <f t="shared" si="381"/>
        <v>133.53349819598614</v>
      </c>
      <c r="AR696" s="963">
        <f t="shared" si="382"/>
        <v>100</v>
      </c>
      <c r="AS696" s="963">
        <f t="shared" si="383"/>
        <v>100</v>
      </c>
      <c r="AT696" s="963">
        <f t="shared" si="384"/>
        <v>100</v>
      </c>
      <c r="AU696" s="963">
        <f t="shared" si="385"/>
        <v>100</v>
      </c>
      <c r="AV696" s="963">
        <f t="shared" si="386"/>
        <v>100</v>
      </c>
      <c r="AW696" s="963">
        <f t="shared" si="387"/>
        <v>100</v>
      </c>
      <c r="AX696" s="963">
        <f t="shared" si="388"/>
        <v>100</v>
      </c>
      <c r="AY696" s="963">
        <f t="shared" si="389"/>
        <v>100</v>
      </c>
      <c r="AZ696" s="963">
        <f t="shared" si="390"/>
        <v>100</v>
      </c>
      <c r="BA696" s="963">
        <f t="shared" si="391"/>
        <v>100</v>
      </c>
      <c r="BB696" s="963">
        <f t="shared" si="392"/>
        <v>100</v>
      </c>
      <c r="BC696" s="963">
        <f t="shared" si="393"/>
        <v>100</v>
      </c>
      <c r="BD696" s="963">
        <f t="shared" si="394"/>
        <v>100</v>
      </c>
      <c r="BE696" s="963">
        <f t="shared" si="395"/>
        <v>100</v>
      </c>
      <c r="BF696" s="963">
        <f t="shared" si="396"/>
        <v>100</v>
      </c>
      <c r="BG696" s="963">
        <f t="shared" si="397"/>
        <v>100.67519831622351</v>
      </c>
      <c r="BH696" s="963">
        <f t="shared" si="398"/>
        <v>100</v>
      </c>
      <c r="BI696" s="963">
        <f t="shared" si="399"/>
        <v>100</v>
      </c>
      <c r="BJ696" s="962">
        <f t="shared" si="400"/>
        <v>100</v>
      </c>
      <c r="BK696" s="962">
        <f t="shared" si="401"/>
        <v>100.67519831622351</v>
      </c>
      <c r="BL696" s="962">
        <f t="shared" si="402"/>
        <v>100</v>
      </c>
      <c r="BM696" s="962">
        <v>100</v>
      </c>
      <c r="BN696" s="962">
        <v>100.90684757037832</v>
      </c>
    </row>
    <row r="697" spans="1:66">
      <c r="A697" s="937"/>
      <c r="B697" s="936"/>
      <c r="C697" s="964" t="s">
        <v>1681</v>
      </c>
      <c r="D697" s="964"/>
      <c r="E697" s="964"/>
      <c r="F697" s="758"/>
      <c r="G697" s="933"/>
      <c r="H697" s="963">
        <f t="shared" ref="H697:AF697" si="419">+H424</f>
        <v>100.00000000000001</v>
      </c>
      <c r="I697" s="963">
        <f t="shared" si="419"/>
        <v>100.00000000000001</v>
      </c>
      <c r="J697" s="963">
        <f t="shared" si="419"/>
        <v>96.666666666666671</v>
      </c>
      <c r="K697" s="963">
        <f t="shared" si="419"/>
        <v>96.666666666666671</v>
      </c>
      <c r="L697" s="963">
        <f t="shared" si="419"/>
        <v>96.666666666666671</v>
      </c>
      <c r="M697" s="963">
        <f t="shared" si="419"/>
        <v>96.666666666666671</v>
      </c>
      <c r="N697" s="963">
        <f t="shared" si="419"/>
        <v>96.666666666666671</v>
      </c>
      <c r="O697" s="963">
        <f t="shared" si="419"/>
        <v>96.666666666666671</v>
      </c>
      <c r="P697" s="963">
        <f t="shared" si="419"/>
        <v>96.666666666666671</v>
      </c>
      <c r="Q697" s="963">
        <f t="shared" si="419"/>
        <v>96.666666666666671</v>
      </c>
      <c r="R697" s="963">
        <f t="shared" si="419"/>
        <v>96.666666666666671</v>
      </c>
      <c r="S697" s="963">
        <f t="shared" si="419"/>
        <v>96.666666666666671</v>
      </c>
      <c r="T697" s="963">
        <f t="shared" si="419"/>
        <v>96.666666666666671</v>
      </c>
      <c r="U697" s="963">
        <f t="shared" si="419"/>
        <v>96.666666666666671</v>
      </c>
      <c r="V697" s="963">
        <f t="shared" si="419"/>
        <v>98.666666666666671</v>
      </c>
      <c r="W697" s="963">
        <f t="shared" si="419"/>
        <v>90</v>
      </c>
      <c r="X697" s="963">
        <f t="shared" si="419"/>
        <v>90</v>
      </c>
      <c r="Y697" s="963">
        <f t="shared" si="419"/>
        <v>86.666666666666657</v>
      </c>
      <c r="Z697" s="963">
        <f t="shared" si="419"/>
        <v>83.333333333333329</v>
      </c>
      <c r="AA697" s="963">
        <f t="shared" si="419"/>
        <v>83.333333333333329</v>
      </c>
      <c r="AB697" s="963">
        <f t="shared" si="419"/>
        <v>79.999999999999986</v>
      </c>
      <c r="AC697" s="963">
        <f t="shared" si="419"/>
        <v>79.999999999999986</v>
      </c>
      <c r="AD697" s="963">
        <f t="shared" si="419"/>
        <v>79.999999999999986</v>
      </c>
      <c r="AE697" s="963">
        <f t="shared" si="419"/>
        <v>79.999999999999986</v>
      </c>
      <c r="AF697" s="963">
        <f t="shared" si="419"/>
        <v>79.999999999999986</v>
      </c>
      <c r="AG697" s="963">
        <f t="shared" si="371"/>
        <v>82.758620689655146</v>
      </c>
      <c r="AH697" s="963">
        <f t="shared" si="372"/>
        <v>100</v>
      </c>
      <c r="AI697" s="963">
        <f t="shared" si="373"/>
        <v>82.758620689655146</v>
      </c>
      <c r="AJ697" s="963">
        <f t="shared" si="374"/>
        <v>82.758620689655146</v>
      </c>
      <c r="AK697" s="963">
        <f t="shared" si="375"/>
        <v>100</v>
      </c>
      <c r="AL697" s="963">
        <f t="shared" si="376"/>
        <v>82.758620689655146</v>
      </c>
      <c r="AM697" s="963">
        <f t="shared" si="377"/>
        <v>82.758620689655146</v>
      </c>
      <c r="AN697" s="963">
        <f t="shared" si="378"/>
        <v>100</v>
      </c>
      <c r="AO697" s="963">
        <f t="shared" si="379"/>
        <v>82.758620689655146</v>
      </c>
      <c r="AP697" s="963">
        <f t="shared" si="380"/>
        <v>82.758620689655146</v>
      </c>
      <c r="AQ697" s="963">
        <f t="shared" si="381"/>
        <v>100</v>
      </c>
      <c r="AR697" s="963">
        <f t="shared" si="382"/>
        <v>82.758620689655146</v>
      </c>
      <c r="AS697" s="963">
        <f t="shared" si="383"/>
        <v>82.758620689655146</v>
      </c>
      <c r="AT697" s="963">
        <f t="shared" si="384"/>
        <v>95.999999999999986</v>
      </c>
      <c r="AU697" s="963">
        <f t="shared" si="385"/>
        <v>86.206896551724128</v>
      </c>
      <c r="AV697" s="963">
        <f t="shared" si="386"/>
        <v>86.206896551724128</v>
      </c>
      <c r="AW697" s="963">
        <f t="shared" si="387"/>
        <v>100</v>
      </c>
      <c r="AX697" s="963">
        <f t="shared" si="388"/>
        <v>86.206896551724128</v>
      </c>
      <c r="AY697" s="963">
        <f t="shared" si="389"/>
        <v>86.206896551724128</v>
      </c>
      <c r="AZ697" s="963">
        <f t="shared" si="390"/>
        <v>96.15384615384616</v>
      </c>
      <c r="BA697" s="963">
        <f t="shared" si="391"/>
        <v>89.655172413793096</v>
      </c>
      <c r="BB697" s="963">
        <f t="shared" si="392"/>
        <v>89.655172413793096</v>
      </c>
      <c r="BC697" s="963">
        <f t="shared" si="393"/>
        <v>96.296296296296291</v>
      </c>
      <c r="BD697" s="963">
        <f t="shared" si="394"/>
        <v>93.103448275862064</v>
      </c>
      <c r="BE697" s="963">
        <f t="shared" si="395"/>
        <v>93.103448275862064</v>
      </c>
      <c r="BF697" s="963">
        <f t="shared" si="396"/>
        <v>100</v>
      </c>
      <c r="BG697" s="963">
        <f t="shared" si="397"/>
        <v>93.103448275862064</v>
      </c>
      <c r="BH697" s="963">
        <f t="shared" si="398"/>
        <v>93.103448275862064</v>
      </c>
      <c r="BI697" s="963">
        <f t="shared" si="399"/>
        <v>91.21621621621621</v>
      </c>
      <c r="BJ697" s="962">
        <f t="shared" si="400"/>
        <v>102.06896551724138</v>
      </c>
      <c r="BK697" s="962">
        <f t="shared" si="401"/>
        <v>102.06896551724138</v>
      </c>
      <c r="BL697" s="962">
        <f t="shared" si="402"/>
        <v>102.06896551724138</v>
      </c>
      <c r="BM697" s="962">
        <v>100</v>
      </c>
      <c r="BN697" s="962">
        <v>96.666666666666657</v>
      </c>
    </row>
    <row r="698" spans="1:66">
      <c r="A698" s="937"/>
      <c r="B698" s="936" t="s">
        <v>1680</v>
      </c>
      <c r="C698" s="947"/>
      <c r="D698" s="935"/>
      <c r="E698" s="758"/>
      <c r="F698" s="758"/>
      <c r="G698" s="933"/>
      <c r="H698" s="932">
        <f t="shared" ref="H698:AF698" si="420">+H426</f>
        <v>99.999999999999986</v>
      </c>
      <c r="I698" s="932">
        <f t="shared" si="420"/>
        <v>99.999999999999986</v>
      </c>
      <c r="J698" s="932">
        <f t="shared" si="420"/>
        <v>99.999999999999986</v>
      </c>
      <c r="K698" s="932">
        <f t="shared" si="420"/>
        <v>99.999999999999986</v>
      </c>
      <c r="L698" s="932">
        <f t="shared" si="420"/>
        <v>99.999999999999986</v>
      </c>
      <c r="M698" s="932">
        <f t="shared" si="420"/>
        <v>99.999999999999986</v>
      </c>
      <c r="N698" s="932">
        <f t="shared" si="420"/>
        <v>99.999999999999986</v>
      </c>
      <c r="O698" s="932">
        <f t="shared" si="420"/>
        <v>99.999999999999986</v>
      </c>
      <c r="P698" s="932">
        <f t="shared" si="420"/>
        <v>99.999999999999986</v>
      </c>
      <c r="Q698" s="932">
        <f t="shared" si="420"/>
        <v>99.999999999999986</v>
      </c>
      <c r="R698" s="932">
        <f t="shared" si="420"/>
        <v>99.999999999999986</v>
      </c>
      <c r="S698" s="932">
        <f t="shared" si="420"/>
        <v>99.999999999999986</v>
      </c>
      <c r="T698" s="932">
        <f t="shared" si="420"/>
        <v>99.999999999999986</v>
      </c>
      <c r="U698" s="932">
        <f t="shared" si="420"/>
        <v>106.05222806433164</v>
      </c>
      <c r="V698" s="932">
        <f t="shared" si="420"/>
        <v>106.38024398992685</v>
      </c>
      <c r="W698" s="932">
        <f t="shared" si="420"/>
        <v>106.05222806433164</v>
      </c>
      <c r="X698" s="932">
        <f t="shared" si="420"/>
        <v>106.05222806433164</v>
      </c>
      <c r="Y698" s="932">
        <f t="shared" si="420"/>
        <v>106.05222806433164</v>
      </c>
      <c r="Z698" s="932">
        <f t="shared" si="420"/>
        <v>106.05222806433164</v>
      </c>
      <c r="AA698" s="932">
        <f t="shared" si="420"/>
        <v>106.05222806433164</v>
      </c>
      <c r="AB698" s="932">
        <f t="shared" si="420"/>
        <v>106.05222806433164</v>
      </c>
      <c r="AC698" s="932">
        <f t="shared" si="420"/>
        <v>148.9259149622257</v>
      </c>
      <c r="AD698" s="932">
        <f t="shared" si="420"/>
        <v>176.41498647550441</v>
      </c>
      <c r="AE698" s="932">
        <f t="shared" si="420"/>
        <v>188.51944260416766</v>
      </c>
      <c r="AF698" s="932">
        <f t="shared" si="420"/>
        <v>197.13577323260191</v>
      </c>
      <c r="AG698" s="932">
        <f t="shared" si="371"/>
        <v>197.13577323260193</v>
      </c>
      <c r="AH698" s="932">
        <f t="shared" si="372"/>
        <v>104.57052625947227</v>
      </c>
      <c r="AI698" s="932">
        <f t="shared" si="373"/>
        <v>188.51944260416769</v>
      </c>
      <c r="AJ698" s="932">
        <f t="shared" si="374"/>
        <v>188.51944260416769</v>
      </c>
      <c r="AK698" s="932">
        <f t="shared" si="375"/>
        <v>106.8613536584909</v>
      </c>
      <c r="AL698" s="932">
        <f t="shared" si="376"/>
        <v>176.41498647550441</v>
      </c>
      <c r="AM698" s="932">
        <f t="shared" si="377"/>
        <v>176.41498647550441</v>
      </c>
      <c r="AN698" s="932">
        <f t="shared" si="378"/>
        <v>118.45821898777736</v>
      </c>
      <c r="AO698" s="932">
        <f t="shared" si="379"/>
        <v>148.92591496222573</v>
      </c>
      <c r="AP698" s="932">
        <f t="shared" si="380"/>
        <v>148.92591496222573</v>
      </c>
      <c r="AQ698" s="932">
        <f t="shared" si="381"/>
        <v>140.42695536003896</v>
      </c>
      <c r="AR698" s="932">
        <f t="shared" si="382"/>
        <v>106.05222806433166</v>
      </c>
      <c r="AS698" s="932">
        <f t="shared" si="383"/>
        <v>106.05222806433166</v>
      </c>
      <c r="AT698" s="932">
        <f t="shared" si="384"/>
        <v>100</v>
      </c>
      <c r="AU698" s="932">
        <f t="shared" si="385"/>
        <v>106.05222806433166</v>
      </c>
      <c r="AV698" s="932">
        <f t="shared" si="386"/>
        <v>106.05222806433166</v>
      </c>
      <c r="AW698" s="932">
        <f t="shared" si="387"/>
        <v>100</v>
      </c>
      <c r="AX698" s="932">
        <f t="shared" si="388"/>
        <v>106.05222806433166</v>
      </c>
      <c r="AY698" s="932">
        <f t="shared" si="389"/>
        <v>106.05222806433166</v>
      </c>
      <c r="AZ698" s="932">
        <f t="shared" si="390"/>
        <v>100</v>
      </c>
      <c r="BA698" s="932">
        <f t="shared" si="391"/>
        <v>106.05222806433166</v>
      </c>
      <c r="BB698" s="932">
        <f t="shared" si="392"/>
        <v>106.05222806433166</v>
      </c>
      <c r="BC698" s="932">
        <f t="shared" si="393"/>
        <v>100</v>
      </c>
      <c r="BD698" s="932">
        <f t="shared" si="394"/>
        <v>106.05222806433166</v>
      </c>
      <c r="BE698" s="932">
        <f t="shared" si="395"/>
        <v>106.05222806433166</v>
      </c>
      <c r="BF698" s="932">
        <f t="shared" si="396"/>
        <v>100</v>
      </c>
      <c r="BG698" s="932">
        <f t="shared" si="397"/>
        <v>106.05222806433166</v>
      </c>
      <c r="BH698" s="932">
        <f t="shared" si="398"/>
        <v>106.05222806433166</v>
      </c>
      <c r="BI698" s="932">
        <f t="shared" si="399"/>
        <v>99.691657103525472</v>
      </c>
      <c r="BJ698" s="932">
        <f t="shared" si="400"/>
        <v>100.30929659054048</v>
      </c>
      <c r="BK698" s="932">
        <f t="shared" si="401"/>
        <v>106.38024398992687</v>
      </c>
      <c r="BL698" s="932">
        <f t="shared" si="402"/>
        <v>106.38024398992687</v>
      </c>
      <c r="BM698" s="932">
        <v>106.05222806433166</v>
      </c>
      <c r="BN698" s="932">
        <v>106.05222806433166</v>
      </c>
    </row>
    <row r="699" spans="1:66">
      <c r="A699" s="937" t="s">
        <v>1679</v>
      </c>
      <c r="B699" s="937"/>
      <c r="C699" s="758"/>
      <c r="D699" s="935"/>
      <c r="E699" s="758"/>
      <c r="F699" s="758"/>
      <c r="G699" s="933"/>
      <c r="H699" s="939">
        <f t="shared" ref="H699:AF699" si="421">+H430</f>
        <v>99.999999999999986</v>
      </c>
      <c r="I699" s="939">
        <f t="shared" si="421"/>
        <v>100.61073124538149</v>
      </c>
      <c r="J699" s="939">
        <f t="shared" si="421"/>
        <v>99.611845047007876</v>
      </c>
      <c r="K699" s="939">
        <f t="shared" si="421"/>
        <v>99.47280522246902</v>
      </c>
      <c r="L699" s="939">
        <f t="shared" si="421"/>
        <v>99.822571449357028</v>
      </c>
      <c r="M699" s="939">
        <f t="shared" si="421"/>
        <v>99.872057555206624</v>
      </c>
      <c r="N699" s="939">
        <f t="shared" si="421"/>
        <v>99.936834817765018</v>
      </c>
      <c r="O699" s="939">
        <f t="shared" si="421"/>
        <v>99.95830940635112</v>
      </c>
      <c r="P699" s="939">
        <f t="shared" si="421"/>
        <v>100.01884700461537</v>
      </c>
      <c r="Q699" s="939">
        <f t="shared" si="421"/>
        <v>101.31131392387543</v>
      </c>
      <c r="R699" s="939">
        <f t="shared" si="421"/>
        <v>103.40263847478285</v>
      </c>
      <c r="S699" s="939">
        <f t="shared" si="421"/>
        <v>105.36097459277444</v>
      </c>
      <c r="T699" s="939">
        <f t="shared" si="421"/>
        <v>105.56013113002352</v>
      </c>
      <c r="U699" s="939">
        <f t="shared" si="421"/>
        <v>108.07079169893483</v>
      </c>
      <c r="V699" s="939">
        <f t="shared" si="421"/>
        <v>109.68478493189001</v>
      </c>
      <c r="W699" s="939">
        <f t="shared" si="421"/>
        <v>114.23598224322603</v>
      </c>
      <c r="X699" s="939">
        <f t="shared" si="421"/>
        <v>120.10920569546263</v>
      </c>
      <c r="Y699" s="939">
        <f t="shared" si="421"/>
        <v>121.71308483064938</v>
      </c>
      <c r="Z699" s="939">
        <f t="shared" si="421"/>
        <v>122.8027714395562</v>
      </c>
      <c r="AA699" s="939">
        <f t="shared" si="421"/>
        <v>123.22118065595872</v>
      </c>
      <c r="AB699" s="939">
        <f t="shared" si="421"/>
        <v>124.38938279954036</v>
      </c>
      <c r="AC699" s="939">
        <f t="shared" si="421"/>
        <v>126.25159661551649</v>
      </c>
      <c r="AD699" s="939">
        <f t="shared" si="421"/>
        <v>127.67879534380492</v>
      </c>
      <c r="AE699" s="939">
        <f t="shared" si="421"/>
        <v>131.31859168300758</v>
      </c>
      <c r="AF699" s="939">
        <f t="shared" si="421"/>
        <v>133.7228616950371</v>
      </c>
      <c r="AG699" s="939">
        <f t="shared" si="371"/>
        <v>126.67932510459292</v>
      </c>
      <c r="AH699" s="939">
        <f t="shared" si="372"/>
        <v>101.83086795343741</v>
      </c>
      <c r="AI699" s="939">
        <f t="shared" si="373"/>
        <v>124.63684223742297</v>
      </c>
      <c r="AJ699" s="939">
        <f t="shared" si="374"/>
        <v>124.40169434921991</v>
      </c>
      <c r="AK699" s="939">
        <f t="shared" si="375"/>
        <v>102.85074458088492</v>
      </c>
      <c r="AL699" s="939">
        <f t="shared" si="376"/>
        <v>123.4773089227722</v>
      </c>
      <c r="AM699" s="939">
        <f t="shared" si="377"/>
        <v>120.95361570414948</v>
      </c>
      <c r="AN699" s="939">
        <f t="shared" si="378"/>
        <v>101.13044014218275</v>
      </c>
      <c r="AO699" s="939">
        <f t="shared" si="379"/>
        <v>124.61747037490898</v>
      </c>
      <c r="AP699" s="939">
        <f t="shared" si="380"/>
        <v>119.60159130534453</v>
      </c>
      <c r="AQ699" s="939">
        <f t="shared" si="381"/>
        <v>101.49708421576236</v>
      </c>
      <c r="AR699" s="939">
        <f t="shared" si="382"/>
        <v>124.36594354442059</v>
      </c>
      <c r="AS699" s="939">
        <f t="shared" si="383"/>
        <v>117.83746521338054</v>
      </c>
      <c r="AT699" s="939">
        <f t="shared" si="384"/>
        <v>100.94805303549504</v>
      </c>
      <c r="AU699" s="939">
        <f t="shared" si="385"/>
        <v>123.2725737237504</v>
      </c>
      <c r="AV699" s="939">
        <f t="shared" si="386"/>
        <v>116.73079536456925</v>
      </c>
      <c r="AW699" s="939">
        <f t="shared" si="387"/>
        <v>100.34071642805591</v>
      </c>
      <c r="AX699" s="939">
        <f t="shared" si="388"/>
        <v>122.88038906123776</v>
      </c>
      <c r="AY699" s="939">
        <f t="shared" si="389"/>
        <v>116.33442486756111</v>
      </c>
      <c r="AZ699" s="939">
        <f t="shared" si="390"/>
        <v>100.89529125847316</v>
      </c>
      <c r="BA699" s="939">
        <f t="shared" si="391"/>
        <v>121.8690070176732</v>
      </c>
      <c r="BB699" s="939">
        <f t="shared" si="392"/>
        <v>115.30213493267594</v>
      </c>
      <c r="BC699" s="939">
        <f t="shared" si="393"/>
        <v>101.33535071346105</v>
      </c>
      <c r="BD699" s="939">
        <f t="shared" si="394"/>
        <v>120.32269250486863</v>
      </c>
      <c r="BE699" s="939">
        <f t="shared" si="395"/>
        <v>113.78273635101715</v>
      </c>
      <c r="BF699" s="939">
        <f t="shared" si="396"/>
        <v>105.14130778840909</v>
      </c>
      <c r="BG699" s="939">
        <f t="shared" si="397"/>
        <v>114.84142021303154</v>
      </c>
      <c r="BH699" s="939">
        <f t="shared" si="398"/>
        <v>108.21887110249612</v>
      </c>
      <c r="BI699" s="939">
        <f t="shared" si="399"/>
        <v>104.14934242170611</v>
      </c>
      <c r="BJ699" s="939">
        <f t="shared" si="400"/>
        <v>101.49345924794505</v>
      </c>
      <c r="BK699" s="939">
        <f t="shared" si="401"/>
        <v>110.11219085454005</v>
      </c>
      <c r="BL699" s="939">
        <f t="shared" si="402"/>
        <v>103.90739738356896</v>
      </c>
      <c r="BM699" s="939">
        <v>102.37841744040541</v>
      </c>
      <c r="BN699" s="939">
        <v>107.41477609914081</v>
      </c>
    </row>
    <row r="700" spans="1:66">
      <c r="A700" s="937"/>
      <c r="B700" s="936" t="s">
        <v>1678</v>
      </c>
      <c r="C700" s="947"/>
      <c r="D700" s="935"/>
      <c r="E700" s="758"/>
      <c r="F700" s="758"/>
      <c r="G700" s="933"/>
      <c r="H700" s="932">
        <f t="shared" ref="H700:AF700" si="422">+H431</f>
        <v>100</v>
      </c>
      <c r="I700" s="932">
        <f t="shared" si="422"/>
        <v>100.85956155831261</v>
      </c>
      <c r="J700" s="932">
        <f t="shared" si="422"/>
        <v>99.438283105839403</v>
      </c>
      <c r="K700" s="932">
        <f t="shared" si="422"/>
        <v>99.242594267005757</v>
      </c>
      <c r="L700" s="932">
        <f t="shared" si="422"/>
        <v>99.285208478049526</v>
      </c>
      <c r="M700" s="932">
        <f t="shared" si="422"/>
        <v>99.354856714619345</v>
      </c>
      <c r="N700" s="932">
        <f t="shared" si="422"/>
        <v>99.446026185919479</v>
      </c>
      <c r="O700" s="932">
        <f t="shared" si="422"/>
        <v>99.446026185919479</v>
      </c>
      <c r="P700" s="932">
        <f t="shared" si="422"/>
        <v>99.531228625935483</v>
      </c>
      <c r="Q700" s="932">
        <f t="shared" si="422"/>
        <v>100.76663310380233</v>
      </c>
      <c r="R700" s="932">
        <f t="shared" si="422"/>
        <v>102.75290294634171</v>
      </c>
      <c r="S700" s="932">
        <f t="shared" si="422"/>
        <v>104.84694403567619</v>
      </c>
      <c r="T700" s="932">
        <f t="shared" si="422"/>
        <v>105.12724294751429</v>
      </c>
      <c r="U700" s="932">
        <f t="shared" si="422"/>
        <v>108.14956616334366</v>
      </c>
      <c r="V700" s="932">
        <f t="shared" si="422"/>
        <v>111.51641614047931</v>
      </c>
      <c r="W700" s="932">
        <f t="shared" si="422"/>
        <v>115.57054761500538</v>
      </c>
      <c r="X700" s="932">
        <f t="shared" si="422"/>
        <v>119.72076297315047</v>
      </c>
      <c r="Y700" s="932">
        <f t="shared" si="422"/>
        <v>121.97811079874771</v>
      </c>
      <c r="Z700" s="932">
        <f t="shared" si="422"/>
        <v>123.51176856836003</v>
      </c>
      <c r="AA700" s="932">
        <f t="shared" si="422"/>
        <v>124.10065030772262</v>
      </c>
      <c r="AB700" s="932">
        <f t="shared" si="422"/>
        <v>125.12752313757653</v>
      </c>
      <c r="AC700" s="932">
        <f t="shared" si="422"/>
        <v>127.79377229545092</v>
      </c>
      <c r="AD700" s="932">
        <f t="shared" si="422"/>
        <v>129.50409144306894</v>
      </c>
      <c r="AE700" s="932">
        <f t="shared" si="422"/>
        <v>132.92345971899567</v>
      </c>
      <c r="AF700" s="932">
        <f t="shared" si="422"/>
        <v>135.74322984106158</v>
      </c>
      <c r="AG700" s="932">
        <f t="shared" si="371"/>
        <v>129.12279066315151</v>
      </c>
      <c r="AH700" s="932">
        <f t="shared" si="372"/>
        <v>102.12134872807779</v>
      </c>
      <c r="AI700" s="932">
        <f t="shared" si="373"/>
        <v>126.77857322552568</v>
      </c>
      <c r="AJ700" s="932">
        <f t="shared" si="374"/>
        <v>126.4405457540239</v>
      </c>
      <c r="AK700" s="932">
        <f t="shared" si="375"/>
        <v>102.64035540331164</v>
      </c>
      <c r="AL700" s="932">
        <f t="shared" si="376"/>
        <v>126.03448440838396</v>
      </c>
      <c r="AM700" s="932">
        <f t="shared" si="377"/>
        <v>123.18794616132472</v>
      </c>
      <c r="AN700" s="932">
        <f t="shared" si="378"/>
        <v>101.33834311085511</v>
      </c>
      <c r="AO700" s="932">
        <f t="shared" si="379"/>
        <v>126.82151656670639</v>
      </c>
      <c r="AP700" s="932">
        <f t="shared" si="380"/>
        <v>121.56104232587275</v>
      </c>
      <c r="AQ700" s="932">
        <f t="shared" si="381"/>
        <v>102.13082548988272</v>
      </c>
      <c r="AR700" s="932">
        <f t="shared" si="382"/>
        <v>125.716847732121</v>
      </c>
      <c r="AS700" s="932">
        <f t="shared" si="383"/>
        <v>119.02483088997926</v>
      </c>
      <c r="AT700" s="932">
        <f t="shared" si="384"/>
        <v>100.82745161069475</v>
      </c>
      <c r="AU700" s="932">
        <f t="shared" si="385"/>
        <v>124.79196511654477</v>
      </c>
      <c r="AV700" s="932">
        <f t="shared" si="386"/>
        <v>118.04804047765332</v>
      </c>
      <c r="AW700" s="932">
        <f t="shared" si="387"/>
        <v>100.47678188579792</v>
      </c>
      <c r="AX700" s="932">
        <f t="shared" si="388"/>
        <v>124.19980295386404</v>
      </c>
      <c r="AY700" s="932">
        <f t="shared" si="389"/>
        <v>117.48787954995107</v>
      </c>
      <c r="AZ700" s="932">
        <f t="shared" si="390"/>
        <v>101.25732212080469</v>
      </c>
      <c r="BA700" s="932">
        <f t="shared" si="391"/>
        <v>122.77015420505309</v>
      </c>
      <c r="BB700" s="932">
        <f t="shared" si="392"/>
        <v>116.02902100233558</v>
      </c>
      <c r="BC700" s="932">
        <f t="shared" si="393"/>
        <v>101.88551072473825</v>
      </c>
      <c r="BD700" s="932">
        <f t="shared" si="394"/>
        <v>120.58267773050902</v>
      </c>
      <c r="BE700" s="932">
        <f t="shared" si="395"/>
        <v>113.88176805218997</v>
      </c>
      <c r="BF700" s="932">
        <f t="shared" si="396"/>
        <v>103.59106662016563</v>
      </c>
      <c r="BG700" s="932">
        <f t="shared" si="397"/>
        <v>116.45256602630754</v>
      </c>
      <c r="BH700" s="932">
        <f t="shared" si="398"/>
        <v>109.93396609164859</v>
      </c>
      <c r="BI700" s="932">
        <f t="shared" si="399"/>
        <v>103.63545710563278</v>
      </c>
      <c r="BJ700" s="932">
        <f t="shared" si="400"/>
        <v>103.11314237918488</v>
      </c>
      <c r="BK700" s="932">
        <f t="shared" si="401"/>
        <v>112.14636119751209</v>
      </c>
      <c r="BL700" s="932">
        <f t="shared" si="402"/>
        <v>106.07756183252602</v>
      </c>
      <c r="BM700" s="932">
        <v>102.87491912761215</v>
      </c>
      <c r="BN700" s="932">
        <v>107.22787655666765</v>
      </c>
    </row>
    <row r="701" spans="1:66">
      <c r="A701" s="937"/>
      <c r="B701" s="947"/>
      <c r="C701" s="961" t="s">
        <v>1677</v>
      </c>
      <c r="D701" s="935"/>
      <c r="E701" s="758"/>
      <c r="F701" s="955"/>
      <c r="G701" s="933"/>
      <c r="H701" s="958">
        <f t="shared" ref="H701:AF701" si="423">+H432</f>
        <v>100</v>
      </c>
      <c r="I701" s="958">
        <f t="shared" si="423"/>
        <v>103.48525817584665</v>
      </c>
      <c r="J701" s="958">
        <f t="shared" si="423"/>
        <v>100.26105741343207</v>
      </c>
      <c r="K701" s="958">
        <f t="shared" si="423"/>
        <v>100.26105741343207</v>
      </c>
      <c r="L701" s="958">
        <f t="shared" si="423"/>
        <v>101.04033327442335</v>
      </c>
      <c r="M701" s="958">
        <f t="shared" si="423"/>
        <v>101.04033327442335</v>
      </c>
      <c r="N701" s="958">
        <f t="shared" si="423"/>
        <v>101.04033327442335</v>
      </c>
      <c r="O701" s="958">
        <f t="shared" si="423"/>
        <v>101.04033327442335</v>
      </c>
      <c r="P701" s="958">
        <f t="shared" si="423"/>
        <v>102.59840986849252</v>
      </c>
      <c r="Q701" s="958">
        <f t="shared" si="423"/>
        <v>102.59840986849252</v>
      </c>
      <c r="R701" s="958">
        <f t="shared" si="423"/>
        <v>102.59840986849252</v>
      </c>
      <c r="S701" s="958">
        <f t="shared" si="423"/>
        <v>102.59840986849252</v>
      </c>
      <c r="T701" s="958">
        <f t="shared" si="423"/>
        <v>102.59840986849252</v>
      </c>
      <c r="U701" s="958">
        <f t="shared" si="423"/>
        <v>104.51015085916842</v>
      </c>
      <c r="V701" s="958">
        <f t="shared" si="423"/>
        <v>109.65814928264983</v>
      </c>
      <c r="W701" s="958">
        <f t="shared" si="423"/>
        <v>112.86325708840592</v>
      </c>
      <c r="X701" s="958">
        <f t="shared" si="423"/>
        <v>116.06836489416199</v>
      </c>
      <c r="Y701" s="958">
        <f t="shared" si="423"/>
        <v>116.06836489416199</v>
      </c>
      <c r="Z701" s="958">
        <f t="shared" si="423"/>
        <v>117.23546346649846</v>
      </c>
      <c r="AA701" s="958">
        <f t="shared" si="423"/>
        <v>119.2877448937078</v>
      </c>
      <c r="AB701" s="958">
        <f t="shared" si="423"/>
        <v>119.67738282420343</v>
      </c>
      <c r="AC701" s="958">
        <f t="shared" si="423"/>
        <v>119.67738282420343</v>
      </c>
      <c r="AD701" s="958">
        <f t="shared" si="423"/>
        <v>122.29678610073859</v>
      </c>
      <c r="AE701" s="958">
        <f t="shared" si="423"/>
        <v>124.72975414239826</v>
      </c>
      <c r="AF701" s="958">
        <f t="shared" si="423"/>
        <v>124.72975414239826</v>
      </c>
      <c r="AG701" s="958">
        <f t="shared" si="371"/>
        <v>121.57084530089016</v>
      </c>
      <c r="AH701" s="958">
        <f t="shared" si="372"/>
        <v>100</v>
      </c>
      <c r="AI701" s="958">
        <f t="shared" si="373"/>
        <v>121.57084530089016</v>
      </c>
      <c r="AJ701" s="958">
        <f t="shared" si="374"/>
        <v>121.57084530089016</v>
      </c>
      <c r="AK701" s="958">
        <f t="shared" si="375"/>
        <v>101.98939654853692</v>
      </c>
      <c r="AL701" s="958">
        <f t="shared" si="376"/>
        <v>119.19949466808973</v>
      </c>
      <c r="AM701" s="958">
        <f t="shared" si="377"/>
        <v>119.19949466808973</v>
      </c>
      <c r="AN701" s="958">
        <f t="shared" si="378"/>
        <v>102.18872038702823</v>
      </c>
      <c r="AO701" s="958">
        <f t="shared" si="379"/>
        <v>116.64643046378809</v>
      </c>
      <c r="AP701" s="958">
        <f t="shared" si="380"/>
        <v>116.64643046378809</v>
      </c>
      <c r="AQ701" s="958">
        <f t="shared" si="381"/>
        <v>100</v>
      </c>
      <c r="AR701" s="958">
        <f t="shared" si="382"/>
        <v>116.64643046378809</v>
      </c>
      <c r="AS701" s="958">
        <f t="shared" si="383"/>
        <v>116.64643046378809</v>
      </c>
      <c r="AT701" s="958">
        <f t="shared" si="384"/>
        <v>100.32663701610156</v>
      </c>
      <c r="AU701" s="958">
        <f t="shared" si="385"/>
        <v>118.05953229560802</v>
      </c>
      <c r="AV701" s="958">
        <f t="shared" si="386"/>
        <v>116.26666051316697</v>
      </c>
      <c r="AW701" s="958">
        <f t="shared" si="387"/>
        <v>101.75056366608368</v>
      </c>
      <c r="AX701" s="958">
        <f t="shared" si="388"/>
        <v>116.02838160488791</v>
      </c>
      <c r="AY701" s="958">
        <f t="shared" si="389"/>
        <v>114.26635521619414</v>
      </c>
      <c r="AZ701" s="958">
        <f t="shared" si="390"/>
        <v>101.00552684911233</v>
      </c>
      <c r="BA701" s="958">
        <f t="shared" si="391"/>
        <v>114.87329973360522</v>
      </c>
      <c r="BB701" s="958">
        <f t="shared" si="392"/>
        <v>113.12881461119606</v>
      </c>
      <c r="BC701" s="958">
        <f t="shared" si="393"/>
        <v>100</v>
      </c>
      <c r="BD701" s="958">
        <f t="shared" si="394"/>
        <v>114.87329973360522</v>
      </c>
      <c r="BE701" s="958">
        <f t="shared" si="395"/>
        <v>113.12881461119606</v>
      </c>
      <c r="BF701" s="958">
        <f t="shared" si="396"/>
        <v>102.8398150899061</v>
      </c>
      <c r="BG701" s="958">
        <f t="shared" si="397"/>
        <v>112.569386360058</v>
      </c>
      <c r="BH701" s="958">
        <f t="shared" si="398"/>
        <v>110.00487944508161</v>
      </c>
      <c r="BI701" s="958">
        <f t="shared" si="399"/>
        <v>102.92281770823502</v>
      </c>
      <c r="BJ701" s="958">
        <f t="shared" si="400"/>
        <v>104.92583579792027</v>
      </c>
      <c r="BK701" s="958">
        <f t="shared" si="401"/>
        <v>109.37262393959035</v>
      </c>
      <c r="BL701" s="958">
        <f t="shared" si="402"/>
        <v>106.88094427896715</v>
      </c>
      <c r="BM701" s="958">
        <v>101.86332419101456</v>
      </c>
      <c r="BN701" s="958">
        <v>100.99037553888132</v>
      </c>
    </row>
    <row r="702" spans="1:66">
      <c r="A702" s="937"/>
      <c r="B702" s="947"/>
      <c r="C702" s="961" t="s">
        <v>1676</v>
      </c>
      <c r="D702" s="935"/>
      <c r="E702" s="960"/>
      <c r="F702" s="960"/>
      <c r="G702" s="933"/>
      <c r="H702" s="958">
        <f t="shared" ref="H702:AF702" si="424">+H437</f>
        <v>100</v>
      </c>
      <c r="I702" s="958">
        <f t="shared" si="424"/>
        <v>100.70583017544105</v>
      </c>
      <c r="J702" s="958">
        <f t="shared" si="424"/>
        <v>99.3078408881331</v>
      </c>
      <c r="K702" s="958">
        <f t="shared" si="424"/>
        <v>99.404369904379124</v>
      </c>
      <c r="L702" s="958">
        <f t="shared" si="424"/>
        <v>99.404369904379124</v>
      </c>
      <c r="M702" s="958">
        <f t="shared" si="424"/>
        <v>99.482578917494862</v>
      </c>
      <c r="N702" s="958">
        <f t="shared" si="424"/>
        <v>99.584954436644153</v>
      </c>
      <c r="O702" s="958">
        <f t="shared" si="424"/>
        <v>99.584954436644153</v>
      </c>
      <c r="P702" s="958">
        <f t="shared" si="424"/>
        <v>99.584954436644153</v>
      </c>
      <c r="Q702" s="958">
        <f t="shared" si="424"/>
        <v>100.56389041768492</v>
      </c>
      <c r="R702" s="958">
        <f t="shared" si="424"/>
        <v>102.79430157835867</v>
      </c>
      <c r="S702" s="958">
        <f t="shared" si="424"/>
        <v>105.14573063222271</v>
      </c>
      <c r="T702" s="958">
        <f t="shared" si="424"/>
        <v>105.46048233810832</v>
      </c>
      <c r="U702" s="958">
        <f t="shared" si="424"/>
        <v>108.73690070587408</v>
      </c>
      <c r="V702" s="958">
        <f t="shared" si="424"/>
        <v>112.24461202372331</v>
      </c>
      <c r="W702" s="958">
        <f t="shared" si="424"/>
        <v>115.90871295950815</v>
      </c>
      <c r="X702" s="958">
        <f t="shared" si="424"/>
        <v>120.28019067830682</v>
      </c>
      <c r="Y702" s="958">
        <f t="shared" si="424"/>
        <v>122.81499923045091</v>
      </c>
      <c r="Z702" s="958">
        <f t="shared" si="424"/>
        <v>124.46549903551889</v>
      </c>
      <c r="AA702" s="958">
        <f t="shared" si="424"/>
        <v>125.00074073315099</v>
      </c>
      <c r="AB702" s="958">
        <f t="shared" si="424"/>
        <v>126.12990504220265</v>
      </c>
      <c r="AC702" s="958">
        <f t="shared" si="424"/>
        <v>129.03182807451418</v>
      </c>
      <c r="AD702" s="958">
        <f t="shared" si="424"/>
        <v>130.79152346029574</v>
      </c>
      <c r="AE702" s="958">
        <f t="shared" si="424"/>
        <v>133.80866287644744</v>
      </c>
      <c r="AF702" s="958">
        <f t="shared" si="424"/>
        <v>136.52627677033078</v>
      </c>
      <c r="AG702" s="958">
        <f t="shared" si="371"/>
        <v>129.45728460886886</v>
      </c>
      <c r="AH702" s="958">
        <f t="shared" si="372"/>
        <v>102.03097006984716</v>
      </c>
      <c r="AI702" s="958">
        <f t="shared" si="373"/>
        <v>127.26019598882388</v>
      </c>
      <c r="AJ702" s="958">
        <f t="shared" si="374"/>
        <v>126.88038202542475</v>
      </c>
      <c r="AK702" s="958">
        <f t="shared" si="375"/>
        <v>102.30683100580873</v>
      </c>
      <c r="AL702" s="958">
        <f t="shared" si="376"/>
        <v>127.23616139421424</v>
      </c>
      <c r="AM702" s="958">
        <f t="shared" si="377"/>
        <v>124.01946260872923</v>
      </c>
      <c r="AN702" s="958">
        <f t="shared" si="378"/>
        <v>101.36376846863347</v>
      </c>
      <c r="AO702" s="958">
        <f t="shared" si="379"/>
        <v>128.30830981039986</v>
      </c>
      <c r="AP702" s="958">
        <f t="shared" si="380"/>
        <v>122.35087988772484</v>
      </c>
      <c r="AQ702" s="958">
        <f t="shared" si="381"/>
        <v>102.30074147074046</v>
      </c>
      <c r="AR702" s="958">
        <f t="shared" si="382"/>
        <v>126.65558342193786</v>
      </c>
      <c r="AS702" s="958">
        <f t="shared" si="383"/>
        <v>119.59921123613655</v>
      </c>
      <c r="AT702" s="958">
        <f t="shared" si="384"/>
        <v>100.90332609425265</v>
      </c>
      <c r="AU702" s="958">
        <f t="shared" si="385"/>
        <v>125.52171303414748</v>
      </c>
      <c r="AV702" s="958">
        <f t="shared" si="386"/>
        <v>118.52851225580045</v>
      </c>
      <c r="AW702" s="958">
        <f t="shared" si="387"/>
        <v>100.43003217902124</v>
      </c>
      <c r="AX702" s="958">
        <f t="shared" si="388"/>
        <v>124.98424058094409</v>
      </c>
      <c r="AY702" s="958">
        <f t="shared" si="389"/>
        <v>118.0209840464034</v>
      </c>
      <c r="AZ702" s="958">
        <f t="shared" si="390"/>
        <v>101.34389106820004</v>
      </c>
      <c r="BA702" s="958">
        <f t="shared" si="391"/>
        <v>123.4537750899146</v>
      </c>
      <c r="BB702" s="958">
        <f t="shared" si="392"/>
        <v>116.45594302963993</v>
      </c>
      <c r="BC702" s="958">
        <f t="shared" si="393"/>
        <v>102.10741979859634</v>
      </c>
      <c r="BD702" s="958">
        <f t="shared" si="394"/>
        <v>121.00090850533931</v>
      </c>
      <c r="BE702" s="958">
        <f t="shared" si="395"/>
        <v>114.05238058051567</v>
      </c>
      <c r="BF702" s="958">
        <f t="shared" si="396"/>
        <v>103.77148327091321</v>
      </c>
      <c r="BG702" s="958">
        <f t="shared" si="397"/>
        <v>116.60323693113813</v>
      </c>
      <c r="BH702" s="958">
        <f t="shared" si="398"/>
        <v>109.90724714106901</v>
      </c>
      <c r="BI702" s="958">
        <f t="shared" si="399"/>
        <v>103.26438914948579</v>
      </c>
      <c r="BJ702" s="958">
        <f t="shared" si="400"/>
        <v>103.22587023823435</v>
      </c>
      <c r="BK702" s="958">
        <f t="shared" si="401"/>
        <v>113.02693827586387</v>
      </c>
      <c r="BL702" s="958">
        <f t="shared" si="402"/>
        <v>106.43286426840429</v>
      </c>
      <c r="BM702" s="958">
        <v>103.10677354694955</v>
      </c>
      <c r="BN702" s="958">
        <v>107.97478211186183</v>
      </c>
    </row>
    <row r="703" spans="1:66">
      <c r="A703" s="937"/>
      <c r="B703" s="947"/>
      <c r="C703" s="959" t="s">
        <v>1675</v>
      </c>
      <c r="D703" s="935"/>
      <c r="E703" s="941"/>
      <c r="F703" s="758"/>
      <c r="G703" s="933"/>
      <c r="H703" s="958">
        <f t="shared" ref="H703:AF703" si="425">+H468</f>
        <v>100</v>
      </c>
      <c r="I703" s="958">
        <f t="shared" si="425"/>
        <v>100.73759797103885</v>
      </c>
      <c r="J703" s="958">
        <f t="shared" si="425"/>
        <v>100.73759797103885</v>
      </c>
      <c r="K703" s="958">
        <f t="shared" si="425"/>
        <v>95.595701923358732</v>
      </c>
      <c r="L703" s="958">
        <f t="shared" si="425"/>
        <v>95.595701923358732</v>
      </c>
      <c r="M703" s="958">
        <f t="shared" si="425"/>
        <v>95.595701923358732</v>
      </c>
      <c r="N703" s="958">
        <f t="shared" si="425"/>
        <v>95.595701923358732</v>
      </c>
      <c r="O703" s="958">
        <f t="shared" si="425"/>
        <v>95.595701923358732</v>
      </c>
      <c r="P703" s="958">
        <f t="shared" si="425"/>
        <v>95.595701923358732</v>
      </c>
      <c r="Q703" s="958">
        <f t="shared" si="425"/>
        <v>102.23408366270854</v>
      </c>
      <c r="R703" s="958">
        <f t="shared" si="425"/>
        <v>102.23408366270854</v>
      </c>
      <c r="S703" s="958">
        <f t="shared" si="425"/>
        <v>102.23408366270854</v>
      </c>
      <c r="T703" s="958">
        <f t="shared" si="425"/>
        <v>102.23408366270854</v>
      </c>
      <c r="U703" s="958">
        <f t="shared" si="425"/>
        <v>102.23408366270854</v>
      </c>
      <c r="V703" s="958">
        <f t="shared" si="425"/>
        <v>101.53265211833643</v>
      </c>
      <c r="W703" s="958">
        <f t="shared" si="425"/>
        <v>112.77546211298539</v>
      </c>
      <c r="X703" s="958">
        <f t="shared" si="425"/>
        <v>114.27194780465508</v>
      </c>
      <c r="Y703" s="958">
        <f t="shared" si="425"/>
        <v>114.27194780465508</v>
      </c>
      <c r="Z703" s="958">
        <f t="shared" si="425"/>
        <v>114.27194780465508</v>
      </c>
      <c r="AA703" s="958">
        <f t="shared" si="425"/>
        <v>114.27194780465508</v>
      </c>
      <c r="AB703" s="958">
        <f t="shared" si="425"/>
        <v>114.27194780465508</v>
      </c>
      <c r="AC703" s="958">
        <f t="shared" si="425"/>
        <v>115.76843349632476</v>
      </c>
      <c r="AD703" s="958">
        <f t="shared" si="425"/>
        <v>115.76843349632476</v>
      </c>
      <c r="AE703" s="958">
        <f t="shared" si="425"/>
        <v>126.7119463526398</v>
      </c>
      <c r="AF703" s="958">
        <f t="shared" si="425"/>
        <v>134.00762159018313</v>
      </c>
      <c r="AG703" s="958">
        <f t="shared" si="371"/>
        <v>131.07920254100588</v>
      </c>
      <c r="AH703" s="958">
        <f t="shared" si="372"/>
        <v>105.75768540184794</v>
      </c>
      <c r="AI703" s="958">
        <f t="shared" si="373"/>
        <v>123.94295699924187</v>
      </c>
      <c r="AJ703" s="958">
        <f t="shared" si="374"/>
        <v>123.94295699924187</v>
      </c>
      <c r="AK703" s="958">
        <f t="shared" si="375"/>
        <v>109.45293334789959</v>
      </c>
      <c r="AL703" s="958">
        <f t="shared" si="376"/>
        <v>113.2385886865958</v>
      </c>
      <c r="AM703" s="958">
        <f t="shared" si="377"/>
        <v>113.2385886865958</v>
      </c>
      <c r="AN703" s="958">
        <f t="shared" si="378"/>
        <v>100</v>
      </c>
      <c r="AO703" s="958">
        <f t="shared" si="379"/>
        <v>113.2385886865958</v>
      </c>
      <c r="AP703" s="958">
        <f t="shared" si="380"/>
        <v>113.2385886865958</v>
      </c>
      <c r="AQ703" s="958">
        <f t="shared" si="381"/>
        <v>101.30958272823692</v>
      </c>
      <c r="AR703" s="958">
        <f t="shared" si="382"/>
        <v>119.53670040131044</v>
      </c>
      <c r="AS703" s="958">
        <f t="shared" si="383"/>
        <v>111.77480514391067</v>
      </c>
      <c r="AT703" s="958">
        <f t="shared" si="384"/>
        <v>100</v>
      </c>
      <c r="AU703" s="958">
        <f t="shared" si="385"/>
        <v>119.53670040131044</v>
      </c>
      <c r="AV703" s="958">
        <f t="shared" si="386"/>
        <v>111.77480514391067</v>
      </c>
      <c r="AW703" s="958">
        <f t="shared" si="387"/>
        <v>100</v>
      </c>
      <c r="AX703" s="958">
        <f t="shared" si="388"/>
        <v>119.53670040131044</v>
      </c>
      <c r="AY703" s="958">
        <f t="shared" si="389"/>
        <v>111.77480514391067</v>
      </c>
      <c r="AZ703" s="958">
        <f t="shared" si="390"/>
        <v>100</v>
      </c>
      <c r="BA703" s="958">
        <f t="shared" si="391"/>
        <v>119.53670040131044</v>
      </c>
      <c r="BB703" s="958">
        <f t="shared" si="392"/>
        <v>111.77480514391067</v>
      </c>
      <c r="BC703" s="958">
        <f t="shared" si="393"/>
        <v>100</v>
      </c>
      <c r="BD703" s="958">
        <f t="shared" si="394"/>
        <v>119.53670040131044</v>
      </c>
      <c r="BE703" s="958">
        <f t="shared" si="395"/>
        <v>111.77480514391067</v>
      </c>
      <c r="BF703" s="958">
        <f t="shared" si="396"/>
        <v>101.32696037208024</v>
      </c>
      <c r="BG703" s="958">
        <f t="shared" si="397"/>
        <v>117.97126841895053</v>
      </c>
      <c r="BH703" s="958">
        <f t="shared" si="398"/>
        <v>110.31102160122552</v>
      </c>
      <c r="BI703" s="958">
        <f t="shared" si="399"/>
        <v>111.07309792473995</v>
      </c>
      <c r="BJ703" s="958">
        <f t="shared" si="400"/>
        <v>99.313896580042439</v>
      </c>
      <c r="BK703" s="958">
        <f t="shared" si="401"/>
        <v>100.78923278230849</v>
      </c>
      <c r="BL703" s="958">
        <f t="shared" si="402"/>
        <v>99.313896580042439</v>
      </c>
      <c r="BM703" s="958">
        <v>100</v>
      </c>
      <c r="BN703" s="958">
        <v>101.48552846386106</v>
      </c>
    </row>
    <row r="704" spans="1:66">
      <c r="A704" s="957"/>
      <c r="B704" s="936" t="s">
        <v>1674</v>
      </c>
      <c r="C704" s="947"/>
      <c r="D704" s="935"/>
      <c r="E704" s="946"/>
      <c r="F704" s="955"/>
      <c r="G704" s="933"/>
      <c r="H704" s="932">
        <f t="shared" ref="H704:AF704" si="426">+H472</f>
        <v>99.999999999999986</v>
      </c>
      <c r="I704" s="932">
        <f t="shared" si="426"/>
        <v>99.999999999999986</v>
      </c>
      <c r="J704" s="932">
        <f t="shared" si="426"/>
        <v>100.03783695784865</v>
      </c>
      <c r="K704" s="932">
        <f t="shared" si="426"/>
        <v>100.03783695784865</v>
      </c>
      <c r="L704" s="932">
        <f t="shared" si="426"/>
        <v>101.14147971588874</v>
      </c>
      <c r="M704" s="932">
        <f t="shared" si="426"/>
        <v>101.14147971588874</v>
      </c>
      <c r="N704" s="932">
        <f t="shared" si="426"/>
        <v>101.14147971588874</v>
      </c>
      <c r="O704" s="932">
        <f t="shared" si="426"/>
        <v>101.21566171812053</v>
      </c>
      <c r="P704" s="932">
        <f t="shared" si="426"/>
        <v>101.21566171812053</v>
      </c>
      <c r="Q704" s="932">
        <f t="shared" si="426"/>
        <v>102.64818318092098</v>
      </c>
      <c r="R704" s="932">
        <f t="shared" si="426"/>
        <v>104.99735490534601</v>
      </c>
      <c r="S704" s="932">
        <f t="shared" si="426"/>
        <v>106.62261558258285</v>
      </c>
      <c r="T704" s="932">
        <f t="shared" si="426"/>
        <v>106.62261558258285</v>
      </c>
      <c r="U704" s="932">
        <f t="shared" si="426"/>
        <v>107.87744698065696</v>
      </c>
      <c r="V704" s="932">
        <f t="shared" si="426"/>
        <v>105.18921364909792</v>
      </c>
      <c r="W704" s="932">
        <f t="shared" si="426"/>
        <v>110.96041359586677</v>
      </c>
      <c r="X704" s="932">
        <f t="shared" si="426"/>
        <v>121.06260283089429</v>
      </c>
      <c r="Y704" s="932">
        <f t="shared" si="426"/>
        <v>121.06260283089429</v>
      </c>
      <c r="Z704" s="932">
        <f t="shared" si="426"/>
        <v>121.06260283089429</v>
      </c>
      <c r="AA704" s="932">
        <f t="shared" si="426"/>
        <v>121.06260283089429</v>
      </c>
      <c r="AB704" s="932">
        <f t="shared" si="426"/>
        <v>122.577684849219</v>
      </c>
      <c r="AC704" s="932">
        <f t="shared" si="426"/>
        <v>122.46646745456863</v>
      </c>
      <c r="AD704" s="932">
        <f t="shared" si="426"/>
        <v>123.19877300745061</v>
      </c>
      <c r="AE704" s="932">
        <f t="shared" si="426"/>
        <v>127.37958986789012</v>
      </c>
      <c r="AF704" s="932">
        <f t="shared" si="426"/>
        <v>128.76405286095374</v>
      </c>
      <c r="AG704" s="932">
        <f t="shared" si="371"/>
        <v>120.76617344021314</v>
      </c>
      <c r="AH704" s="932">
        <f t="shared" si="372"/>
        <v>101.08687976974922</v>
      </c>
      <c r="AI704" s="932">
        <f t="shared" si="373"/>
        <v>119.46770314336388</v>
      </c>
      <c r="AJ704" s="932">
        <f t="shared" si="374"/>
        <v>119.46770314336388</v>
      </c>
      <c r="AK704" s="932">
        <f t="shared" si="375"/>
        <v>103.39355397653731</v>
      </c>
      <c r="AL704" s="932">
        <f t="shared" si="376"/>
        <v>117.3351206023361</v>
      </c>
      <c r="AM704" s="932">
        <f t="shared" si="377"/>
        <v>115.5465679905676</v>
      </c>
      <c r="AN704" s="932">
        <f t="shared" si="378"/>
        <v>100.59796413508346</v>
      </c>
      <c r="AO704" s="932">
        <f t="shared" si="379"/>
        <v>119.3069995585964</v>
      </c>
      <c r="AP704" s="932">
        <f t="shared" si="380"/>
        <v>114.85974789252302</v>
      </c>
      <c r="AQ704" s="932">
        <f t="shared" si="381"/>
        <v>99.909267828979495</v>
      </c>
      <c r="AR704" s="932">
        <f t="shared" si="382"/>
        <v>121.10545222792734</v>
      </c>
      <c r="AS704" s="932">
        <f t="shared" si="383"/>
        <v>114.96405727758423</v>
      </c>
      <c r="AT704" s="932">
        <f t="shared" si="384"/>
        <v>101.25148640694685</v>
      </c>
      <c r="AU704" s="932">
        <f t="shared" si="385"/>
        <v>119.60856726703648</v>
      </c>
      <c r="AV704" s="932">
        <f t="shared" si="386"/>
        <v>113.54308105218745</v>
      </c>
      <c r="AW704" s="932">
        <f t="shared" si="387"/>
        <v>100</v>
      </c>
      <c r="AX704" s="932">
        <f t="shared" si="388"/>
        <v>119.69629391518193</v>
      </c>
      <c r="AY704" s="932">
        <f t="shared" si="389"/>
        <v>113.54308105218745</v>
      </c>
      <c r="AZ704" s="932">
        <f t="shared" si="390"/>
        <v>100</v>
      </c>
      <c r="BA704" s="932">
        <f t="shared" si="391"/>
        <v>119.69629391518193</v>
      </c>
      <c r="BB704" s="932">
        <f t="shared" si="392"/>
        <v>113.54308105218745</v>
      </c>
      <c r="BC704" s="932">
        <f t="shared" si="393"/>
        <v>100</v>
      </c>
      <c r="BD704" s="932">
        <f t="shared" si="394"/>
        <v>119.69629391518193</v>
      </c>
      <c r="BE704" s="932">
        <f t="shared" si="395"/>
        <v>113.54308105218745</v>
      </c>
      <c r="BF704" s="932">
        <f t="shared" si="396"/>
        <v>109.10431829482998</v>
      </c>
      <c r="BG704" s="932">
        <f t="shared" si="397"/>
        <v>110.91844543042288</v>
      </c>
      <c r="BH704" s="932">
        <f t="shared" si="398"/>
        <v>104.06836578673513</v>
      </c>
      <c r="BI704" s="932">
        <f t="shared" si="399"/>
        <v>105.48649404873494</v>
      </c>
      <c r="BJ704" s="932">
        <f t="shared" si="400"/>
        <v>97.508067342341675</v>
      </c>
      <c r="BK704" s="932">
        <f t="shared" si="401"/>
        <v>105.14942830423234</v>
      </c>
      <c r="BL704" s="932">
        <f t="shared" si="402"/>
        <v>98.655630491099032</v>
      </c>
      <c r="BM704" s="932">
        <v>101.17689046664044</v>
      </c>
      <c r="BN704" s="932">
        <v>107.87744698065697</v>
      </c>
    </row>
    <row r="705" spans="1:66">
      <c r="A705" s="937" t="s">
        <v>1673</v>
      </c>
      <c r="B705" s="937"/>
      <c r="C705" s="758"/>
      <c r="D705" s="935"/>
      <c r="E705" s="941"/>
      <c r="F705" s="758"/>
      <c r="G705" s="933"/>
      <c r="H705" s="939">
        <f t="shared" ref="H705:AF705" si="427">+H487</f>
        <v>100</v>
      </c>
      <c r="I705" s="939">
        <f t="shared" si="427"/>
        <v>100</v>
      </c>
      <c r="J705" s="939">
        <f t="shared" si="427"/>
        <v>100</v>
      </c>
      <c r="K705" s="939">
        <f t="shared" si="427"/>
        <v>100</v>
      </c>
      <c r="L705" s="939">
        <f t="shared" si="427"/>
        <v>100</v>
      </c>
      <c r="M705" s="939">
        <f t="shared" si="427"/>
        <v>98.53892152833788</v>
      </c>
      <c r="N705" s="939">
        <f t="shared" si="427"/>
        <v>98.789651618828856</v>
      </c>
      <c r="O705" s="939">
        <f t="shared" si="427"/>
        <v>97.301733953443147</v>
      </c>
      <c r="P705" s="939">
        <f t="shared" si="427"/>
        <v>97.301733953443147</v>
      </c>
      <c r="Q705" s="939">
        <f t="shared" si="427"/>
        <v>99.762537209896919</v>
      </c>
      <c r="R705" s="939">
        <f t="shared" si="427"/>
        <v>104.68414372280444</v>
      </c>
      <c r="S705" s="939">
        <f t="shared" si="427"/>
        <v>104.67130748762933</v>
      </c>
      <c r="T705" s="939">
        <f t="shared" si="427"/>
        <v>107.13211074408308</v>
      </c>
      <c r="U705" s="939">
        <f t="shared" si="427"/>
        <v>107.97310777062113</v>
      </c>
      <c r="V705" s="939">
        <f t="shared" si="427"/>
        <v>113.63458159073403</v>
      </c>
      <c r="W705" s="939">
        <f t="shared" si="427"/>
        <v>109.27557393807163</v>
      </c>
      <c r="X705" s="939">
        <f t="shared" si="427"/>
        <v>109.49239699442143</v>
      </c>
      <c r="Y705" s="939">
        <f t="shared" si="427"/>
        <v>109.49239699442143</v>
      </c>
      <c r="Z705" s="939">
        <f t="shared" si="427"/>
        <v>109.77566416385488</v>
      </c>
      <c r="AA705" s="939">
        <f t="shared" si="427"/>
        <v>108.95803230565619</v>
      </c>
      <c r="AB705" s="939">
        <f t="shared" si="427"/>
        <v>108.95803230565619</v>
      </c>
      <c r="AC705" s="939">
        <f t="shared" si="427"/>
        <v>112.47062237563524</v>
      </c>
      <c r="AD705" s="939">
        <f t="shared" si="427"/>
        <v>117.71505624862276</v>
      </c>
      <c r="AE705" s="939">
        <f t="shared" si="427"/>
        <v>123.18545314422448</v>
      </c>
      <c r="AF705" s="939">
        <f t="shared" si="427"/>
        <v>123.20822223520639</v>
      </c>
      <c r="AG705" s="939">
        <f t="shared" si="371"/>
        <v>115.00587581021892</v>
      </c>
      <c r="AH705" s="939">
        <f t="shared" si="372"/>
        <v>100.01848358746975</v>
      </c>
      <c r="AI705" s="939">
        <f t="shared" si="373"/>
        <v>117.68788992989627</v>
      </c>
      <c r="AJ705" s="939">
        <f t="shared" si="374"/>
        <v>114.9846225269374</v>
      </c>
      <c r="AK705" s="939">
        <f t="shared" si="375"/>
        <v>104.64715140945763</v>
      </c>
      <c r="AL705" s="939">
        <f t="shared" si="376"/>
        <v>112.44783790783366</v>
      </c>
      <c r="AM705" s="939">
        <f t="shared" si="377"/>
        <v>109.87840660567232</v>
      </c>
      <c r="AN705" s="939">
        <f t="shared" si="378"/>
        <v>104.66293665155678</v>
      </c>
      <c r="AO705" s="939">
        <f t="shared" si="379"/>
        <v>112.73833396899376</v>
      </c>
      <c r="AP705" s="939">
        <f t="shared" si="380"/>
        <v>104.98311066072878</v>
      </c>
      <c r="AQ705" s="939">
        <f t="shared" si="381"/>
        <v>103.22380094027884</v>
      </c>
      <c r="AR705" s="939">
        <f t="shared" si="382"/>
        <v>111.97953816299957</v>
      </c>
      <c r="AS705" s="939">
        <f t="shared" si="383"/>
        <v>101.70436440474404</v>
      </c>
      <c r="AT705" s="939">
        <f t="shared" si="384"/>
        <v>100</v>
      </c>
      <c r="AU705" s="939">
        <f t="shared" si="385"/>
        <v>111.97953816299957</v>
      </c>
      <c r="AV705" s="939">
        <f t="shared" si="386"/>
        <v>101.70436440474404</v>
      </c>
      <c r="AW705" s="939">
        <f t="shared" si="387"/>
        <v>99.255179310982555</v>
      </c>
      <c r="AX705" s="939">
        <f t="shared" si="388"/>
        <v>111.12061067632327</v>
      </c>
      <c r="AY705" s="939">
        <f t="shared" si="389"/>
        <v>102.46756402110542</v>
      </c>
      <c r="AZ705" s="939">
        <f t="shared" si="390"/>
        <v>100.25870944212491</v>
      </c>
      <c r="BA705" s="939">
        <f t="shared" si="391"/>
        <v>111.11588730239303</v>
      </c>
      <c r="BB705" s="939">
        <f t="shared" si="392"/>
        <v>102.2031548094638</v>
      </c>
      <c r="BC705" s="939">
        <f t="shared" si="393"/>
        <v>100</v>
      </c>
      <c r="BD705" s="939">
        <f t="shared" si="394"/>
        <v>109.49239699442144</v>
      </c>
      <c r="BE705" s="939">
        <f t="shared" si="395"/>
        <v>102.2031548094638</v>
      </c>
      <c r="BF705" s="939">
        <f t="shared" si="396"/>
        <v>100.19841859304502</v>
      </c>
      <c r="BG705" s="939">
        <f t="shared" si="397"/>
        <v>109.27557393807163</v>
      </c>
      <c r="BH705" s="939">
        <f t="shared" si="398"/>
        <v>102.00076632402852</v>
      </c>
      <c r="BI705" s="939">
        <f t="shared" si="399"/>
        <v>96.164013109704769</v>
      </c>
      <c r="BJ705" s="939">
        <f t="shared" si="400"/>
        <v>105.24341100947115</v>
      </c>
      <c r="BK705" s="939">
        <f t="shared" si="401"/>
        <v>113.63458159073403</v>
      </c>
      <c r="BL705" s="939">
        <f t="shared" si="402"/>
        <v>106.06958156755077</v>
      </c>
      <c r="BM705" s="939">
        <v>100.78500929431608</v>
      </c>
      <c r="BN705" s="939">
        <v>107.97310777062113</v>
      </c>
    </row>
    <row r="706" spans="1:66">
      <c r="A706" s="937"/>
      <c r="B706" s="956" t="s">
        <v>1672</v>
      </c>
      <c r="C706" s="758"/>
      <c r="D706" s="935"/>
      <c r="E706" s="941"/>
      <c r="F706" s="758"/>
      <c r="G706" s="933"/>
      <c r="H706" s="932">
        <f t="shared" ref="H706:AF706" si="428">+H488</f>
        <v>100</v>
      </c>
      <c r="I706" s="932">
        <f t="shared" si="428"/>
        <v>100</v>
      </c>
      <c r="J706" s="932">
        <f t="shared" si="428"/>
        <v>100</v>
      </c>
      <c r="K706" s="932">
        <f t="shared" si="428"/>
        <v>100</v>
      </c>
      <c r="L706" s="932">
        <f t="shared" si="428"/>
        <v>100</v>
      </c>
      <c r="M706" s="932">
        <f t="shared" si="428"/>
        <v>100</v>
      </c>
      <c r="N706" s="932">
        <f t="shared" si="428"/>
        <v>100</v>
      </c>
      <c r="O706" s="932">
        <f t="shared" si="428"/>
        <v>100</v>
      </c>
      <c r="P706" s="932">
        <f t="shared" si="428"/>
        <v>100</v>
      </c>
      <c r="Q706" s="932">
        <f t="shared" si="428"/>
        <v>100</v>
      </c>
      <c r="R706" s="932">
        <f t="shared" si="428"/>
        <v>100</v>
      </c>
      <c r="S706" s="932">
        <f t="shared" si="428"/>
        <v>100</v>
      </c>
      <c r="T706" s="932">
        <f t="shared" si="428"/>
        <v>100</v>
      </c>
      <c r="U706" s="932">
        <f t="shared" si="428"/>
        <v>100</v>
      </c>
      <c r="V706" s="932">
        <f t="shared" si="428"/>
        <v>100</v>
      </c>
      <c r="W706" s="932">
        <f t="shared" si="428"/>
        <v>100</v>
      </c>
      <c r="X706" s="932">
        <f t="shared" si="428"/>
        <v>100</v>
      </c>
      <c r="Y706" s="932">
        <f t="shared" si="428"/>
        <v>100</v>
      </c>
      <c r="Z706" s="932">
        <f t="shared" si="428"/>
        <v>100</v>
      </c>
      <c r="AA706" s="932">
        <f t="shared" si="428"/>
        <v>100</v>
      </c>
      <c r="AB706" s="932">
        <f t="shared" si="428"/>
        <v>100</v>
      </c>
      <c r="AC706" s="932">
        <f t="shared" si="428"/>
        <v>100</v>
      </c>
      <c r="AD706" s="932">
        <f t="shared" si="428"/>
        <v>100</v>
      </c>
      <c r="AE706" s="932">
        <f t="shared" si="428"/>
        <v>100</v>
      </c>
      <c r="AF706" s="932">
        <f t="shared" si="428"/>
        <v>100</v>
      </c>
      <c r="AG706" s="932">
        <f t="shared" si="371"/>
        <v>100</v>
      </c>
      <c r="AH706" s="932">
        <f t="shared" si="372"/>
        <v>100</v>
      </c>
      <c r="AI706" s="932">
        <f t="shared" si="373"/>
        <v>100</v>
      </c>
      <c r="AJ706" s="932">
        <f t="shared" si="374"/>
        <v>100</v>
      </c>
      <c r="AK706" s="932">
        <f t="shared" si="375"/>
        <v>100</v>
      </c>
      <c r="AL706" s="932">
        <f t="shared" si="376"/>
        <v>100</v>
      </c>
      <c r="AM706" s="932">
        <f t="shared" si="377"/>
        <v>100</v>
      </c>
      <c r="AN706" s="932">
        <f t="shared" si="378"/>
        <v>100</v>
      </c>
      <c r="AO706" s="932">
        <f t="shared" si="379"/>
        <v>100</v>
      </c>
      <c r="AP706" s="932">
        <f t="shared" si="380"/>
        <v>100</v>
      </c>
      <c r="AQ706" s="932">
        <f t="shared" si="381"/>
        <v>100</v>
      </c>
      <c r="AR706" s="932">
        <f t="shared" si="382"/>
        <v>100</v>
      </c>
      <c r="AS706" s="932">
        <f t="shared" si="383"/>
        <v>100</v>
      </c>
      <c r="AT706" s="932">
        <f t="shared" si="384"/>
        <v>100</v>
      </c>
      <c r="AU706" s="932">
        <f t="shared" si="385"/>
        <v>100</v>
      </c>
      <c r="AV706" s="932">
        <f t="shared" si="386"/>
        <v>100</v>
      </c>
      <c r="AW706" s="932">
        <f t="shared" si="387"/>
        <v>100</v>
      </c>
      <c r="AX706" s="932">
        <f t="shared" si="388"/>
        <v>100</v>
      </c>
      <c r="AY706" s="932">
        <f t="shared" si="389"/>
        <v>100</v>
      </c>
      <c r="AZ706" s="932">
        <f t="shared" si="390"/>
        <v>100</v>
      </c>
      <c r="BA706" s="932">
        <f t="shared" si="391"/>
        <v>100</v>
      </c>
      <c r="BB706" s="932">
        <f t="shared" si="392"/>
        <v>100</v>
      </c>
      <c r="BC706" s="932">
        <f t="shared" si="393"/>
        <v>100</v>
      </c>
      <c r="BD706" s="932">
        <f t="shared" si="394"/>
        <v>100</v>
      </c>
      <c r="BE706" s="932">
        <f t="shared" si="395"/>
        <v>100</v>
      </c>
      <c r="BF706" s="932">
        <f t="shared" si="396"/>
        <v>100</v>
      </c>
      <c r="BG706" s="932">
        <f t="shared" si="397"/>
        <v>100</v>
      </c>
      <c r="BH706" s="932">
        <f t="shared" si="398"/>
        <v>100</v>
      </c>
      <c r="BI706" s="932">
        <f t="shared" si="399"/>
        <v>100</v>
      </c>
      <c r="BJ706" s="932">
        <f t="shared" si="400"/>
        <v>100</v>
      </c>
      <c r="BK706" s="932">
        <f t="shared" si="401"/>
        <v>100</v>
      </c>
      <c r="BL706" s="932">
        <f t="shared" si="402"/>
        <v>100</v>
      </c>
      <c r="BM706" s="932">
        <v>100</v>
      </c>
      <c r="BN706" s="932">
        <v>100</v>
      </c>
    </row>
    <row r="707" spans="1:66">
      <c r="A707" s="937"/>
      <c r="B707" s="956" t="s">
        <v>1671</v>
      </c>
      <c r="C707" s="956"/>
      <c r="D707" s="935"/>
      <c r="E707" s="941"/>
      <c r="F707" s="758"/>
      <c r="G707" s="933"/>
      <c r="H707" s="932">
        <f t="shared" ref="H707:AF707" si="429">+H491</f>
        <v>100</v>
      </c>
      <c r="I707" s="932">
        <f t="shared" si="429"/>
        <v>100</v>
      </c>
      <c r="J707" s="932">
        <f t="shared" si="429"/>
        <v>100</v>
      </c>
      <c r="K707" s="932">
        <f t="shared" si="429"/>
        <v>100</v>
      </c>
      <c r="L707" s="932">
        <f t="shared" si="429"/>
        <v>100</v>
      </c>
      <c r="M707" s="932">
        <f t="shared" si="429"/>
        <v>100.09217964388262</v>
      </c>
      <c r="N707" s="932">
        <f t="shared" si="429"/>
        <v>101.59263325150509</v>
      </c>
      <c r="O707" s="932">
        <f t="shared" si="429"/>
        <v>98.578942402212007</v>
      </c>
      <c r="P707" s="932">
        <f t="shared" si="429"/>
        <v>98.578942402212007</v>
      </c>
      <c r="Q707" s="932">
        <f t="shared" si="429"/>
        <v>98.578942402212007</v>
      </c>
      <c r="R707" s="932">
        <f t="shared" si="429"/>
        <v>98.578942402212007</v>
      </c>
      <c r="S707" s="932">
        <f t="shared" si="429"/>
        <v>98.502126032309846</v>
      </c>
      <c r="T707" s="932">
        <f t="shared" si="429"/>
        <v>98.502126032309846</v>
      </c>
      <c r="U707" s="932">
        <f t="shared" si="429"/>
        <v>102.03688362821575</v>
      </c>
      <c r="V707" s="932">
        <f t="shared" si="429"/>
        <v>103.29924780488714</v>
      </c>
      <c r="W707" s="932">
        <f t="shared" si="429"/>
        <v>107.88496772220016</v>
      </c>
      <c r="X707" s="932">
        <f t="shared" si="429"/>
        <v>107.88496772220016</v>
      </c>
      <c r="Y707" s="932">
        <f t="shared" si="429"/>
        <v>107.88496772220016</v>
      </c>
      <c r="Z707" s="932">
        <f t="shared" si="429"/>
        <v>109.58013420766309</v>
      </c>
      <c r="AA707" s="932">
        <f t="shared" si="429"/>
        <v>104.68714881074139</v>
      </c>
      <c r="AB707" s="932">
        <f t="shared" si="429"/>
        <v>104.68714881074139</v>
      </c>
      <c r="AC707" s="932">
        <f t="shared" si="429"/>
        <v>105.09088523139789</v>
      </c>
      <c r="AD707" s="932">
        <f t="shared" si="429"/>
        <v>107.70806230789704</v>
      </c>
      <c r="AE707" s="932">
        <f t="shared" si="429"/>
        <v>108.55433308639105</v>
      </c>
      <c r="AF707" s="932">
        <f t="shared" si="429"/>
        <v>108.69059102272087</v>
      </c>
      <c r="AG707" s="932">
        <f t="shared" si="371"/>
        <v>110.34339602687264</v>
      </c>
      <c r="AH707" s="932">
        <f t="shared" si="372"/>
        <v>100.12552049508827</v>
      </c>
      <c r="AI707" s="932">
        <f t="shared" si="373"/>
        <v>110.20506608231378</v>
      </c>
      <c r="AJ707" s="932">
        <f t="shared" si="374"/>
        <v>110.20506608231378</v>
      </c>
      <c r="AK707" s="932">
        <f t="shared" si="375"/>
        <v>100.78570792228612</v>
      </c>
      <c r="AL707" s="932">
        <f t="shared" si="376"/>
        <v>109.26072007187631</v>
      </c>
      <c r="AM707" s="932">
        <f t="shared" si="377"/>
        <v>109.34592647530017</v>
      </c>
      <c r="AN707" s="932">
        <f t="shared" si="378"/>
        <v>102.4903939773049</v>
      </c>
      <c r="AO707" s="932">
        <f t="shared" si="379"/>
        <v>106.60581526896129</v>
      </c>
      <c r="AP707" s="932">
        <f t="shared" si="380"/>
        <v>106.68895125870365</v>
      </c>
      <c r="AQ707" s="932">
        <f t="shared" si="381"/>
        <v>100.38565996422962</v>
      </c>
      <c r="AR707" s="932">
        <f t="shared" si="382"/>
        <v>106.1962588152014</v>
      </c>
      <c r="AS707" s="932">
        <f t="shared" si="383"/>
        <v>106.27907541447664</v>
      </c>
      <c r="AT707" s="932">
        <f t="shared" si="384"/>
        <v>100</v>
      </c>
      <c r="AU707" s="932">
        <f t="shared" si="385"/>
        <v>106.1962588152014</v>
      </c>
      <c r="AV707" s="932">
        <f t="shared" si="386"/>
        <v>106.27907541447664</v>
      </c>
      <c r="AW707" s="932">
        <f t="shared" si="387"/>
        <v>95.53478791361114</v>
      </c>
      <c r="AX707" s="932">
        <f t="shared" si="388"/>
        <v>107.86228361300958</v>
      </c>
      <c r="AY707" s="932">
        <f t="shared" si="389"/>
        <v>111.24646606279293</v>
      </c>
      <c r="AZ707" s="932">
        <f t="shared" si="390"/>
        <v>101.57127218115124</v>
      </c>
      <c r="BA707" s="932">
        <f t="shared" si="391"/>
        <v>107.78561132951991</v>
      </c>
      <c r="BB707" s="932">
        <f t="shared" si="392"/>
        <v>109.52552200427901</v>
      </c>
      <c r="BC707" s="932">
        <f t="shared" si="393"/>
        <v>100</v>
      </c>
      <c r="BD707" s="932">
        <f t="shared" si="394"/>
        <v>107.88496772220016</v>
      </c>
      <c r="BE707" s="932">
        <f t="shared" si="395"/>
        <v>109.52552200427901</v>
      </c>
      <c r="BF707" s="932">
        <f t="shared" si="396"/>
        <v>100</v>
      </c>
      <c r="BG707" s="932">
        <f t="shared" si="397"/>
        <v>107.88496772220016</v>
      </c>
      <c r="BH707" s="932">
        <f t="shared" si="398"/>
        <v>109.52552200427901</v>
      </c>
      <c r="BI707" s="932">
        <f t="shared" si="399"/>
        <v>104.43925780173595</v>
      </c>
      <c r="BJ707" s="932">
        <f t="shared" si="400"/>
        <v>101.23716457400931</v>
      </c>
      <c r="BK707" s="932">
        <f t="shared" si="401"/>
        <v>103.29924780488714</v>
      </c>
      <c r="BL707" s="932">
        <f t="shared" si="402"/>
        <v>104.87006927241731</v>
      </c>
      <c r="BM707" s="932">
        <v>103.588508937103</v>
      </c>
      <c r="BN707" s="932">
        <v>102.03688362821575</v>
      </c>
    </row>
    <row r="708" spans="1:66">
      <c r="A708" s="957"/>
      <c r="B708" s="956" t="s">
        <v>1670</v>
      </c>
      <c r="C708" s="956"/>
      <c r="D708" s="758"/>
      <c r="E708" s="946"/>
      <c r="F708" s="955"/>
      <c r="G708" s="933"/>
      <c r="H708" s="932">
        <f t="shared" ref="H708:AF708" si="430">+H501</f>
        <v>100.00000000000001</v>
      </c>
      <c r="I708" s="932">
        <f t="shared" si="430"/>
        <v>100.00000000000001</v>
      </c>
      <c r="J708" s="932">
        <f t="shared" si="430"/>
        <v>100.00000000000001</v>
      </c>
      <c r="K708" s="932">
        <f t="shared" si="430"/>
        <v>100.00000000000001</v>
      </c>
      <c r="L708" s="932">
        <f t="shared" si="430"/>
        <v>100.00000000000001</v>
      </c>
      <c r="M708" s="932">
        <f t="shared" si="430"/>
        <v>100.00000000000001</v>
      </c>
      <c r="N708" s="932">
        <f t="shared" si="430"/>
        <v>100.00000000000001</v>
      </c>
      <c r="O708" s="932">
        <f t="shared" si="430"/>
        <v>100.00000000000001</v>
      </c>
      <c r="P708" s="932">
        <f t="shared" si="430"/>
        <v>100.00000000000001</v>
      </c>
      <c r="Q708" s="932">
        <f t="shared" si="430"/>
        <v>100.00000000000001</v>
      </c>
      <c r="R708" s="932">
        <f t="shared" si="430"/>
        <v>100.00000000000001</v>
      </c>
      <c r="S708" s="932">
        <f t="shared" si="430"/>
        <v>100.00000000000001</v>
      </c>
      <c r="T708" s="932">
        <f t="shared" si="430"/>
        <v>100.00000000000001</v>
      </c>
      <c r="U708" s="932">
        <f t="shared" si="430"/>
        <v>101.7941363515292</v>
      </c>
      <c r="V708" s="932">
        <f t="shared" si="430"/>
        <v>101.7941363515292</v>
      </c>
      <c r="W708" s="932">
        <f t="shared" si="430"/>
        <v>101.7941363515292</v>
      </c>
      <c r="X708" s="932">
        <f t="shared" si="430"/>
        <v>101.7941363515292</v>
      </c>
      <c r="Y708" s="932">
        <f t="shared" si="430"/>
        <v>101.7941363515292</v>
      </c>
      <c r="Z708" s="932">
        <f t="shared" si="430"/>
        <v>101.7941363515292</v>
      </c>
      <c r="AA708" s="932">
        <f t="shared" si="430"/>
        <v>101.7941363515292</v>
      </c>
      <c r="AB708" s="932">
        <f t="shared" si="430"/>
        <v>101.7941363515292</v>
      </c>
      <c r="AC708" s="932">
        <f t="shared" si="430"/>
        <v>101.7941363515292</v>
      </c>
      <c r="AD708" s="932">
        <f t="shared" si="430"/>
        <v>101.7941363515292</v>
      </c>
      <c r="AE708" s="932">
        <f t="shared" si="430"/>
        <v>101.7941363515292</v>
      </c>
      <c r="AF708" s="932">
        <f t="shared" si="430"/>
        <v>101.7941363515292</v>
      </c>
      <c r="AG708" s="932">
        <f t="shared" si="371"/>
        <v>101.79413635152919</v>
      </c>
      <c r="AH708" s="932">
        <f t="shared" si="372"/>
        <v>100</v>
      </c>
      <c r="AI708" s="932">
        <f t="shared" si="373"/>
        <v>101.79413635152919</v>
      </c>
      <c r="AJ708" s="932">
        <f t="shared" si="374"/>
        <v>101.79413635152919</v>
      </c>
      <c r="AK708" s="932">
        <f t="shared" si="375"/>
        <v>100</v>
      </c>
      <c r="AL708" s="932">
        <f t="shared" si="376"/>
        <v>101.79413635152919</v>
      </c>
      <c r="AM708" s="932">
        <f t="shared" si="377"/>
        <v>101.79413635152919</v>
      </c>
      <c r="AN708" s="932">
        <f t="shared" si="378"/>
        <v>100</v>
      </c>
      <c r="AO708" s="932">
        <f t="shared" si="379"/>
        <v>101.79413635152919</v>
      </c>
      <c r="AP708" s="932">
        <f t="shared" si="380"/>
        <v>101.79413635152919</v>
      </c>
      <c r="AQ708" s="932">
        <f t="shared" si="381"/>
        <v>100</v>
      </c>
      <c r="AR708" s="932">
        <f t="shared" si="382"/>
        <v>101.79413635152919</v>
      </c>
      <c r="AS708" s="932">
        <f t="shared" si="383"/>
        <v>101.79413635152919</v>
      </c>
      <c r="AT708" s="932">
        <f t="shared" si="384"/>
        <v>100</v>
      </c>
      <c r="AU708" s="932">
        <f t="shared" si="385"/>
        <v>101.79413635152919</v>
      </c>
      <c r="AV708" s="932">
        <f t="shared" si="386"/>
        <v>101.79413635152919</v>
      </c>
      <c r="AW708" s="932">
        <f t="shared" si="387"/>
        <v>100</v>
      </c>
      <c r="AX708" s="932">
        <f t="shared" si="388"/>
        <v>101.79413635152919</v>
      </c>
      <c r="AY708" s="932">
        <f t="shared" si="389"/>
        <v>101.79413635152919</v>
      </c>
      <c r="AZ708" s="932">
        <f t="shared" si="390"/>
        <v>100</v>
      </c>
      <c r="BA708" s="932">
        <f t="shared" si="391"/>
        <v>101.79413635152919</v>
      </c>
      <c r="BB708" s="932">
        <f t="shared" si="392"/>
        <v>101.79413635152919</v>
      </c>
      <c r="BC708" s="932">
        <f t="shared" si="393"/>
        <v>100</v>
      </c>
      <c r="BD708" s="932">
        <f t="shared" si="394"/>
        <v>101.79413635152919</v>
      </c>
      <c r="BE708" s="932">
        <f t="shared" si="395"/>
        <v>101.79413635152919</v>
      </c>
      <c r="BF708" s="932">
        <f t="shared" si="396"/>
        <v>100</v>
      </c>
      <c r="BG708" s="932">
        <f t="shared" si="397"/>
        <v>101.79413635152919</v>
      </c>
      <c r="BH708" s="932">
        <f t="shared" si="398"/>
        <v>101.79413635152919</v>
      </c>
      <c r="BI708" s="932">
        <f t="shared" si="399"/>
        <v>100</v>
      </c>
      <c r="BJ708" s="932">
        <f t="shared" si="400"/>
        <v>100</v>
      </c>
      <c r="BK708" s="932">
        <f t="shared" si="401"/>
        <v>101.79413635152919</v>
      </c>
      <c r="BL708" s="932">
        <f t="shared" si="402"/>
        <v>101.79413635152919</v>
      </c>
      <c r="BM708" s="932">
        <v>101.79413635152919</v>
      </c>
      <c r="BN708" s="932">
        <v>101.79413635152919</v>
      </c>
    </row>
    <row r="709" spans="1:66">
      <c r="A709" s="957"/>
      <c r="B709" s="956" t="s">
        <v>1669</v>
      </c>
      <c r="C709" s="956"/>
      <c r="D709" s="758"/>
      <c r="E709" s="946"/>
      <c r="F709" s="955"/>
      <c r="G709" s="933"/>
      <c r="H709" s="932">
        <f t="shared" ref="H709:AF709" si="431">+H513</f>
        <v>100</v>
      </c>
      <c r="I709" s="932">
        <f t="shared" si="431"/>
        <v>100</v>
      </c>
      <c r="J709" s="932">
        <f t="shared" si="431"/>
        <v>100</v>
      </c>
      <c r="K709" s="932">
        <f t="shared" si="431"/>
        <v>100</v>
      </c>
      <c r="L709" s="932">
        <f t="shared" si="431"/>
        <v>100</v>
      </c>
      <c r="M709" s="932">
        <f t="shared" si="431"/>
        <v>97.820843252587821</v>
      </c>
      <c r="N709" s="932">
        <f t="shared" si="431"/>
        <v>97.820843252587821</v>
      </c>
      <c r="O709" s="932">
        <f t="shared" si="431"/>
        <v>96.368072087646354</v>
      </c>
      <c r="P709" s="932">
        <f t="shared" si="431"/>
        <v>96.368072087646354</v>
      </c>
      <c r="Q709" s="932">
        <f t="shared" si="431"/>
        <v>100.00000000000003</v>
      </c>
      <c r="R709" s="932">
        <f t="shared" si="431"/>
        <v>107.26385582470733</v>
      </c>
      <c r="S709" s="932">
        <f t="shared" si="431"/>
        <v>107.26385582470733</v>
      </c>
      <c r="T709" s="932">
        <f t="shared" si="431"/>
        <v>110.89578373706098</v>
      </c>
      <c r="U709" s="932">
        <f t="shared" si="431"/>
        <v>110.89578373706098</v>
      </c>
      <c r="V709" s="932">
        <f t="shared" si="431"/>
        <v>118.94028259006033</v>
      </c>
      <c r="W709" s="932">
        <f t="shared" si="431"/>
        <v>111.37580121204608</v>
      </c>
      <c r="X709" s="932">
        <f t="shared" si="431"/>
        <v>111.69581286203615</v>
      </c>
      <c r="Y709" s="932">
        <f t="shared" si="431"/>
        <v>111.69581286203615</v>
      </c>
      <c r="Z709" s="932">
        <f t="shared" si="431"/>
        <v>111.69581286203615</v>
      </c>
      <c r="AA709" s="932">
        <f t="shared" si="431"/>
        <v>111.69581286203615</v>
      </c>
      <c r="AB709" s="932">
        <f t="shared" si="431"/>
        <v>111.69581286203615</v>
      </c>
      <c r="AC709" s="932">
        <f t="shared" si="431"/>
        <v>116.78051193933125</v>
      </c>
      <c r="AD709" s="932">
        <f t="shared" si="431"/>
        <v>123.87536051881922</v>
      </c>
      <c r="AE709" s="932">
        <f t="shared" si="431"/>
        <v>131.74046745014047</v>
      </c>
      <c r="AF709" s="932">
        <f t="shared" si="431"/>
        <v>131.74046745014047</v>
      </c>
      <c r="AG709" s="932">
        <f t="shared" si="371"/>
        <v>118.79664222627544</v>
      </c>
      <c r="AH709" s="932">
        <f t="shared" si="372"/>
        <v>100</v>
      </c>
      <c r="AI709" s="932">
        <f t="shared" si="373"/>
        <v>122.81906746428479</v>
      </c>
      <c r="AJ709" s="932">
        <f t="shared" si="374"/>
        <v>118.79664222627544</v>
      </c>
      <c r="AK709" s="932">
        <f t="shared" si="375"/>
        <v>106.34921012409598</v>
      </c>
      <c r="AL709" s="932">
        <f t="shared" si="376"/>
        <v>115.48658172540314</v>
      </c>
      <c r="AM709" s="932">
        <f t="shared" si="377"/>
        <v>111.70430141197561</v>
      </c>
      <c r="AN709" s="932">
        <f t="shared" si="378"/>
        <v>106.07537033505541</v>
      </c>
      <c r="AO709" s="932">
        <f t="shared" si="379"/>
        <v>116.78051193933121</v>
      </c>
      <c r="AP709" s="932">
        <f t="shared" si="380"/>
        <v>105.30653917034685</v>
      </c>
      <c r="AQ709" s="932">
        <f t="shared" si="381"/>
        <v>104.55227366810571</v>
      </c>
      <c r="AR709" s="932">
        <f t="shared" si="382"/>
        <v>115.90541394295953</v>
      </c>
      <c r="AS709" s="932">
        <f t="shared" si="383"/>
        <v>100.72142429406701</v>
      </c>
      <c r="AT709" s="932">
        <f t="shared" si="384"/>
        <v>100</v>
      </c>
      <c r="AU709" s="932">
        <f t="shared" si="385"/>
        <v>115.90541394295953</v>
      </c>
      <c r="AV709" s="932">
        <f t="shared" si="386"/>
        <v>100.72142429406701</v>
      </c>
      <c r="AW709" s="932">
        <f t="shared" si="387"/>
        <v>100</v>
      </c>
      <c r="AX709" s="932">
        <f t="shared" si="388"/>
        <v>114.18406256591054</v>
      </c>
      <c r="AY709" s="932">
        <f t="shared" si="389"/>
        <v>100.72142429406701</v>
      </c>
      <c r="AZ709" s="932">
        <f t="shared" si="390"/>
        <v>100</v>
      </c>
      <c r="BA709" s="932">
        <f t="shared" si="391"/>
        <v>114.18406256591054</v>
      </c>
      <c r="BB709" s="932">
        <f t="shared" si="392"/>
        <v>100.72142429406701</v>
      </c>
      <c r="BC709" s="932">
        <f t="shared" si="393"/>
        <v>100</v>
      </c>
      <c r="BD709" s="932">
        <f t="shared" si="394"/>
        <v>111.69581286203616</v>
      </c>
      <c r="BE709" s="932">
        <f t="shared" si="395"/>
        <v>100.72142429406701</v>
      </c>
      <c r="BF709" s="932">
        <f t="shared" si="396"/>
        <v>100.28732601382664</v>
      </c>
      <c r="BG709" s="932">
        <f t="shared" si="397"/>
        <v>111.37580121204608</v>
      </c>
      <c r="BH709" s="932">
        <f t="shared" si="398"/>
        <v>100.43285457644021</v>
      </c>
      <c r="BI709" s="932">
        <f t="shared" si="399"/>
        <v>93.640101390976184</v>
      </c>
      <c r="BJ709" s="932">
        <f t="shared" si="400"/>
        <v>107.2541070380757</v>
      </c>
      <c r="BK709" s="932">
        <f t="shared" si="401"/>
        <v>118.94028259006033</v>
      </c>
      <c r="BL709" s="932">
        <f t="shared" si="402"/>
        <v>107.2541070380757</v>
      </c>
      <c r="BM709" s="932">
        <v>100</v>
      </c>
      <c r="BN709" s="932">
        <v>110.89578373706097</v>
      </c>
    </row>
    <row r="710" spans="1:66">
      <c r="A710" s="937" t="s">
        <v>1668</v>
      </c>
      <c r="B710" s="937"/>
      <c r="C710" s="758"/>
      <c r="D710" s="758"/>
      <c r="E710" s="941"/>
      <c r="F710" s="758"/>
      <c r="G710" s="933"/>
      <c r="H710" s="939">
        <f t="shared" ref="H710:AF710" si="432">+H522</f>
        <v>99.999999999999986</v>
      </c>
      <c r="I710" s="939">
        <f t="shared" si="432"/>
        <v>101.05383770785744</v>
      </c>
      <c r="J710" s="939">
        <f t="shared" si="432"/>
        <v>100.03991191310564</v>
      </c>
      <c r="K710" s="939">
        <f t="shared" si="432"/>
        <v>100.52444573447696</v>
      </c>
      <c r="L710" s="939">
        <f t="shared" si="432"/>
        <v>103.02449487652459</v>
      </c>
      <c r="M710" s="939">
        <f t="shared" si="432"/>
        <v>103.7476477534517</v>
      </c>
      <c r="N710" s="939">
        <f t="shared" si="432"/>
        <v>104.02047945382022</v>
      </c>
      <c r="O710" s="939">
        <f t="shared" si="432"/>
        <v>104.13574942661619</v>
      </c>
      <c r="P710" s="939">
        <f t="shared" si="432"/>
        <v>104.40655756101282</v>
      </c>
      <c r="Q710" s="939">
        <f t="shared" si="432"/>
        <v>105.80535615919057</v>
      </c>
      <c r="R710" s="939">
        <f t="shared" si="432"/>
        <v>107.14014876521962</v>
      </c>
      <c r="S710" s="939">
        <f t="shared" si="432"/>
        <v>107.18619202437931</v>
      </c>
      <c r="T710" s="939">
        <f t="shared" si="432"/>
        <v>108.26527174859932</v>
      </c>
      <c r="U710" s="939">
        <f t="shared" si="432"/>
        <v>111.22464346799559</v>
      </c>
      <c r="V710" s="939">
        <f t="shared" si="432"/>
        <v>115.50724366684237</v>
      </c>
      <c r="W710" s="939">
        <f t="shared" si="432"/>
        <v>118.05066438257356</v>
      </c>
      <c r="X710" s="939">
        <f t="shared" si="432"/>
        <v>121.9916612921233</v>
      </c>
      <c r="Y710" s="939">
        <f t="shared" si="432"/>
        <v>122.33901068576019</v>
      </c>
      <c r="Z710" s="939">
        <f t="shared" si="432"/>
        <v>123.48550583869134</v>
      </c>
      <c r="AA710" s="939">
        <f t="shared" si="432"/>
        <v>123.48550583869134</v>
      </c>
      <c r="AB710" s="939">
        <f t="shared" si="432"/>
        <v>123.72393820134891</v>
      </c>
      <c r="AC710" s="939">
        <f t="shared" si="432"/>
        <v>124.61176266323717</v>
      </c>
      <c r="AD710" s="939">
        <f t="shared" si="432"/>
        <v>125.36861694870575</v>
      </c>
      <c r="AE710" s="939">
        <f t="shared" si="432"/>
        <v>126.35335377067189</v>
      </c>
      <c r="AF710" s="939">
        <f t="shared" si="432"/>
        <v>129.03550765902017</v>
      </c>
      <c r="AG710" s="939">
        <f t="shared" si="371"/>
        <v>119.18457837398775</v>
      </c>
      <c r="AH710" s="939">
        <f t="shared" si="372"/>
        <v>102.12274055915944</v>
      </c>
      <c r="AI710" s="939">
        <f t="shared" si="373"/>
        <v>117.88211838137978</v>
      </c>
      <c r="AJ710" s="939">
        <f t="shared" si="374"/>
        <v>116.70718756802694</v>
      </c>
      <c r="AK710" s="939">
        <f t="shared" si="375"/>
        <v>100.78547314785249</v>
      </c>
      <c r="AL710" s="939">
        <f t="shared" si="376"/>
        <v>117.01366704598375</v>
      </c>
      <c r="AM710" s="939">
        <f t="shared" si="377"/>
        <v>115.79762829194368</v>
      </c>
      <c r="AN710" s="939">
        <f t="shared" si="378"/>
        <v>100.60736985762249</v>
      </c>
      <c r="AO710" s="939">
        <f t="shared" si="379"/>
        <v>117.77453163689675</v>
      </c>
      <c r="AP710" s="939">
        <f t="shared" si="380"/>
        <v>115.09855436616436</v>
      </c>
      <c r="AQ710" s="939">
        <f t="shared" si="381"/>
        <v>100.71758503228648</v>
      </c>
      <c r="AR710" s="939">
        <f t="shared" si="382"/>
        <v>118.50207601093203</v>
      </c>
      <c r="AS710" s="939">
        <f t="shared" si="383"/>
        <v>114.27850889124065</v>
      </c>
      <c r="AT710" s="939">
        <f t="shared" si="384"/>
        <v>100.19308530263385</v>
      </c>
      <c r="AU710" s="939">
        <f t="shared" si="385"/>
        <v>118.58128118212738</v>
      </c>
      <c r="AV710" s="939">
        <f t="shared" si="386"/>
        <v>114.05827911782703</v>
      </c>
      <c r="AW710" s="939">
        <f t="shared" si="387"/>
        <v>100</v>
      </c>
      <c r="AX710" s="939">
        <f t="shared" si="388"/>
        <v>118.71268666235343</v>
      </c>
      <c r="AY710" s="939">
        <f t="shared" si="389"/>
        <v>114.05827911782703</v>
      </c>
      <c r="AZ710" s="939">
        <f t="shared" si="390"/>
        <v>100.93714600641657</v>
      </c>
      <c r="BA710" s="939">
        <f t="shared" si="391"/>
        <v>117.91979224096669</v>
      </c>
      <c r="BB710" s="939">
        <f t="shared" si="392"/>
        <v>112.99931059134201</v>
      </c>
      <c r="BC710" s="939">
        <f t="shared" si="393"/>
        <v>100.28473207919116</v>
      </c>
      <c r="BD710" s="939">
        <f t="shared" si="394"/>
        <v>118.41034643104145</v>
      </c>
      <c r="BE710" s="939">
        <f t="shared" si="395"/>
        <v>112.67847881580879</v>
      </c>
      <c r="BF710" s="939">
        <f t="shared" si="396"/>
        <v>103.33839451913454</v>
      </c>
      <c r="BG710" s="939">
        <f t="shared" si="397"/>
        <v>117.43478267404723</v>
      </c>
      <c r="BH710" s="939">
        <f t="shared" si="398"/>
        <v>109.03834856360655</v>
      </c>
      <c r="BI710" s="939">
        <f t="shared" si="399"/>
        <v>102.20195776038703</v>
      </c>
      <c r="BJ710" s="939">
        <f t="shared" si="400"/>
        <v>103.85040586808361</v>
      </c>
      <c r="BK710" s="939">
        <f t="shared" si="401"/>
        <v>115.46116090862975</v>
      </c>
      <c r="BL710" s="939">
        <f t="shared" si="402"/>
        <v>106.68909965428202</v>
      </c>
      <c r="BM710" s="939">
        <v>102.73344505731087</v>
      </c>
      <c r="BN710" s="939">
        <v>110.06473973758577</v>
      </c>
    </row>
    <row r="711" spans="1:66" ht="14.25" customHeight="1">
      <c r="A711" s="937"/>
      <c r="B711" s="944" t="s">
        <v>1667</v>
      </c>
      <c r="C711" s="943"/>
      <c r="D711" s="943"/>
      <c r="E711" s="943"/>
      <c r="F711" s="943"/>
      <c r="G711" s="933"/>
      <c r="H711" s="942">
        <f t="shared" ref="H711:AF711" si="433">+H523</f>
        <v>100</v>
      </c>
      <c r="I711" s="942">
        <f t="shared" si="433"/>
        <v>102.03246954864483</v>
      </c>
      <c r="J711" s="942">
        <f t="shared" si="433"/>
        <v>100.1211068827886</v>
      </c>
      <c r="K711" s="942">
        <f t="shared" si="433"/>
        <v>100.59761003523545</v>
      </c>
      <c r="L711" s="942">
        <f t="shared" si="433"/>
        <v>103.22791000947011</v>
      </c>
      <c r="M711" s="942">
        <f t="shared" si="433"/>
        <v>103.22791000947011</v>
      </c>
      <c r="N711" s="942">
        <f t="shared" si="433"/>
        <v>103.22791000947011</v>
      </c>
      <c r="O711" s="942">
        <f t="shared" si="433"/>
        <v>103.22791000947011</v>
      </c>
      <c r="P711" s="942">
        <f t="shared" si="433"/>
        <v>103.22791000947011</v>
      </c>
      <c r="Q711" s="942">
        <f t="shared" si="433"/>
        <v>105.57663547754017</v>
      </c>
      <c r="R711" s="942">
        <f t="shared" si="433"/>
        <v>108.10851644950087</v>
      </c>
      <c r="S711" s="942">
        <f t="shared" si="433"/>
        <v>108.10851644950087</v>
      </c>
      <c r="T711" s="942">
        <f t="shared" si="433"/>
        <v>108.73139445225866</v>
      </c>
      <c r="U711" s="942">
        <f t="shared" si="433"/>
        <v>109.61912097652416</v>
      </c>
      <c r="V711" s="942">
        <f t="shared" si="433"/>
        <v>115.84016727792149</v>
      </c>
      <c r="W711" s="942">
        <f t="shared" si="433"/>
        <v>116.00164312163963</v>
      </c>
      <c r="X711" s="942">
        <f t="shared" si="433"/>
        <v>123.15522380239446</v>
      </c>
      <c r="Y711" s="942">
        <f t="shared" si="433"/>
        <v>123.77810180515225</v>
      </c>
      <c r="Z711" s="942">
        <f t="shared" si="433"/>
        <v>123.77810180515225</v>
      </c>
      <c r="AA711" s="942">
        <f t="shared" si="433"/>
        <v>123.77810180515225</v>
      </c>
      <c r="AB711" s="942">
        <f t="shared" si="433"/>
        <v>124.47217238311832</v>
      </c>
      <c r="AC711" s="942">
        <f t="shared" si="433"/>
        <v>124.9658697109016</v>
      </c>
      <c r="AD711" s="942">
        <f t="shared" si="433"/>
        <v>124.9658697109016</v>
      </c>
      <c r="AE711" s="942">
        <f t="shared" si="433"/>
        <v>124.96048718277767</v>
      </c>
      <c r="AF711" s="942">
        <f t="shared" si="433"/>
        <v>128.30734075271411</v>
      </c>
      <c r="AG711" s="942">
        <f t="shared" si="371"/>
        <v>118.00395037612692</v>
      </c>
      <c r="AH711" s="942">
        <f t="shared" si="372"/>
        <v>102.67832948269564</v>
      </c>
      <c r="AI711" s="942">
        <f t="shared" si="373"/>
        <v>115.5880140498909</v>
      </c>
      <c r="AJ711" s="942">
        <f t="shared" si="374"/>
        <v>114.92585725794662</v>
      </c>
      <c r="AK711" s="942">
        <f t="shared" si="375"/>
        <v>99.995692801453401</v>
      </c>
      <c r="AL711" s="942">
        <f t="shared" si="376"/>
        <v>115.59299286959974</v>
      </c>
      <c r="AM711" s="942">
        <f t="shared" si="377"/>
        <v>114.93080755601926</v>
      </c>
      <c r="AN711" s="942">
        <f t="shared" si="378"/>
        <v>100</v>
      </c>
      <c r="AO711" s="942">
        <f t="shared" si="379"/>
        <v>118.36508063139235</v>
      </c>
      <c r="AP711" s="942">
        <f t="shared" si="380"/>
        <v>114.93080755601926</v>
      </c>
      <c r="AQ711" s="942">
        <f t="shared" si="381"/>
        <v>100.39663269173427</v>
      </c>
      <c r="AR711" s="942">
        <f t="shared" si="382"/>
        <v>120.57995979159053</v>
      </c>
      <c r="AS711" s="942">
        <f t="shared" si="383"/>
        <v>114.47675531998355</v>
      </c>
      <c r="AT711" s="942">
        <f t="shared" si="384"/>
        <v>100.56073777820463</v>
      </c>
      <c r="AU711" s="942">
        <f t="shared" si="385"/>
        <v>119.90759262082985</v>
      </c>
      <c r="AV711" s="942">
        <f t="shared" si="386"/>
        <v>113.83842029129889</v>
      </c>
      <c r="AW711" s="942">
        <f t="shared" si="387"/>
        <v>100</v>
      </c>
      <c r="AX711" s="942">
        <f t="shared" si="388"/>
        <v>119.90759262082985</v>
      </c>
      <c r="AY711" s="942">
        <f t="shared" si="389"/>
        <v>113.83842029129889</v>
      </c>
      <c r="AZ711" s="942">
        <f t="shared" si="390"/>
        <v>100</v>
      </c>
      <c r="BA711" s="942">
        <f t="shared" si="391"/>
        <v>119.90759262082985</v>
      </c>
      <c r="BB711" s="942">
        <f t="shared" si="392"/>
        <v>113.83842029129889</v>
      </c>
      <c r="BC711" s="942">
        <f t="shared" si="393"/>
        <v>100.50576661186309</v>
      </c>
      <c r="BD711" s="942">
        <f t="shared" si="394"/>
        <v>119.3041918518899</v>
      </c>
      <c r="BE711" s="942">
        <f t="shared" si="395"/>
        <v>113.26556090151954</v>
      </c>
      <c r="BF711" s="942">
        <f t="shared" si="396"/>
        <v>106.16679254556209</v>
      </c>
      <c r="BG711" s="942">
        <f t="shared" si="397"/>
        <v>115.3125239068888</v>
      </c>
      <c r="BH711" s="942">
        <f t="shared" si="398"/>
        <v>106.68643008397464</v>
      </c>
      <c r="BI711" s="942">
        <f t="shared" si="399"/>
        <v>100.13939538202732</v>
      </c>
      <c r="BJ711" s="942">
        <f t="shared" si="400"/>
        <v>105.67514704184649</v>
      </c>
      <c r="BK711" s="942">
        <f t="shared" si="401"/>
        <v>115.70004655814996</v>
      </c>
      <c r="BL711" s="942">
        <f t="shared" si="402"/>
        <v>106.5379211417951</v>
      </c>
      <c r="BM711" s="942">
        <v>100.81643993322949</v>
      </c>
      <c r="BN711" s="942">
        <v>107.43552661367501</v>
      </c>
    </row>
    <row r="712" spans="1:66">
      <c r="A712" s="954"/>
      <c r="B712" s="953" t="s">
        <v>1666</v>
      </c>
      <c r="C712" s="950"/>
      <c r="D712" s="952"/>
      <c r="E712" s="951"/>
      <c r="F712" s="950"/>
      <c r="G712" s="933"/>
      <c r="H712" s="949">
        <f t="shared" ref="H712:AF712" si="434">+H532</f>
        <v>99.999999999999986</v>
      </c>
      <c r="I712" s="949">
        <f t="shared" si="434"/>
        <v>99.999999999999986</v>
      </c>
      <c r="J712" s="949">
        <f t="shared" si="434"/>
        <v>99.999999999999986</v>
      </c>
      <c r="K712" s="949">
        <f t="shared" si="434"/>
        <v>99.999999999999986</v>
      </c>
      <c r="L712" s="949">
        <f t="shared" si="434"/>
        <v>103.64250673393705</v>
      </c>
      <c r="M712" s="949">
        <f t="shared" si="434"/>
        <v>103.64250673393705</v>
      </c>
      <c r="N712" s="949">
        <f t="shared" si="434"/>
        <v>103.64250673393705</v>
      </c>
      <c r="O712" s="949">
        <f t="shared" si="434"/>
        <v>103.64250673393705</v>
      </c>
      <c r="P712" s="949">
        <f t="shared" si="434"/>
        <v>104.23316155679082</v>
      </c>
      <c r="Q712" s="949">
        <f t="shared" si="434"/>
        <v>104.23316155679082</v>
      </c>
      <c r="R712" s="949">
        <f t="shared" si="434"/>
        <v>104.23316155679082</v>
      </c>
      <c r="S712" s="949">
        <f t="shared" si="434"/>
        <v>104.23316155679082</v>
      </c>
      <c r="T712" s="949">
        <f t="shared" si="434"/>
        <v>108.09221466050647</v>
      </c>
      <c r="U712" s="949">
        <f t="shared" si="434"/>
        <v>109.17869182502749</v>
      </c>
      <c r="V712" s="949">
        <f t="shared" si="434"/>
        <v>113.03774492874314</v>
      </c>
      <c r="W712" s="949">
        <f t="shared" si="434"/>
        <v>114.65445535009793</v>
      </c>
      <c r="X712" s="949">
        <f t="shared" si="434"/>
        <v>116.58398190195577</v>
      </c>
      <c r="Y712" s="949">
        <f t="shared" si="434"/>
        <v>116.58398190195577</v>
      </c>
      <c r="Z712" s="949">
        <f t="shared" si="434"/>
        <v>120.44303500567143</v>
      </c>
      <c r="AA712" s="949">
        <f t="shared" si="434"/>
        <v>120.44303500567143</v>
      </c>
      <c r="AB712" s="949">
        <f t="shared" si="434"/>
        <v>120.44303500567143</v>
      </c>
      <c r="AC712" s="949">
        <f t="shared" si="434"/>
        <v>120.44303500567143</v>
      </c>
      <c r="AD712" s="949">
        <f t="shared" si="434"/>
        <v>120.93885734733867</v>
      </c>
      <c r="AE712" s="949">
        <f t="shared" si="434"/>
        <v>124.13366714272517</v>
      </c>
      <c r="AF712" s="949">
        <f t="shared" si="434"/>
        <v>124.13366714272517</v>
      </c>
      <c r="AG712" s="949">
        <f t="shared" ref="AG712:AG739" si="435">+AF712/T712*100</f>
        <v>114.84052531683371</v>
      </c>
      <c r="AH712" s="949">
        <f t="shared" ref="AH712:AH739" si="436">+AF712/AE712*100</f>
        <v>100</v>
      </c>
      <c r="AI712" s="949">
        <f t="shared" ref="AI712:AI739" si="437">+AE712/S712*100</f>
        <v>119.09229777616568</v>
      </c>
      <c r="AJ712" s="949">
        <f t="shared" ref="AJ712:AJ739" si="438">+AE712/T712*100</f>
        <v>114.84052531683371</v>
      </c>
      <c r="AK712" s="949">
        <f t="shared" ref="AK712:AK739" si="439">+AE712/AD712*100</f>
        <v>102.64167354104477</v>
      </c>
      <c r="AL712" s="949">
        <f t="shared" ref="AL712:AL739" si="440">+AD712/R712*100</f>
        <v>116.02723695706558</v>
      </c>
      <c r="AM712" s="949">
        <f t="shared" ref="AM712:AM739" si="441">+AD712/T712*100</f>
        <v>111.88489173543223</v>
      </c>
      <c r="AN712" s="949">
        <f t="shared" ref="AN712:AN739" si="442">+AD712/AC712*100</f>
        <v>100.41166543307705</v>
      </c>
      <c r="AO712" s="949">
        <f t="shared" ref="AO712:AO739" si="443">+AC712/Q712*100</f>
        <v>115.55155116354095</v>
      </c>
      <c r="AP712" s="949">
        <f t="shared" ref="AP712:AP739" si="444">+AC712/T712*100</f>
        <v>111.42618863343317</v>
      </c>
      <c r="AQ712" s="949">
        <f t="shared" ref="AQ712:AQ739" si="445">+AC712/AB712*100</f>
        <v>100</v>
      </c>
      <c r="AR712" s="949">
        <f t="shared" ref="AR712:AR739" si="446">+AB712/P712*100</f>
        <v>115.55155116354095</v>
      </c>
      <c r="AS712" s="949">
        <f t="shared" ref="AS712:AS739" si="447">+AB712/T712*100</f>
        <v>111.42618863343317</v>
      </c>
      <c r="AT712" s="949">
        <f t="shared" ref="AT712:AT739" si="448">+AB712/AA712*100</f>
        <v>100</v>
      </c>
      <c r="AU712" s="949">
        <f t="shared" ref="AU712:AU739" si="449">+AA712/O712*100</f>
        <v>116.2100751913145</v>
      </c>
      <c r="AV712" s="949">
        <f t="shared" ref="AV712:AV739" si="450">+AA712/T712*100</f>
        <v>111.42618863343317</v>
      </c>
      <c r="AW712" s="949">
        <f t="shared" ref="AW712:AW739" si="451">+AA712/Z712*100</f>
        <v>100</v>
      </c>
      <c r="AX712" s="949">
        <f t="shared" ref="AX712:AX739" si="452">+Z712/N712*100</f>
        <v>116.2100751913145</v>
      </c>
      <c r="AY712" s="949">
        <f t="shared" ref="AY712:AY739" si="453">+Z712/T712*100</f>
        <v>111.42618863343317</v>
      </c>
      <c r="AZ712" s="949">
        <f t="shared" ref="AZ712:AZ739" si="454">+Z712/Y712*100</f>
        <v>103.31010576303787</v>
      </c>
      <c r="BA712" s="949">
        <f t="shared" ref="BA712:BA739" si="455">+Y712/M712*100</f>
        <v>112.48664816766836</v>
      </c>
      <c r="BB712" s="949">
        <f t="shared" ref="BB712:BB739" si="456">+Y712/T712*100</f>
        <v>107.85603964921992</v>
      </c>
      <c r="BC712" s="949">
        <f t="shared" ref="BC712:BC739" si="457">+Y712/X712*100</f>
        <v>100</v>
      </c>
      <c r="BD712" s="949">
        <f t="shared" ref="BD712:BD739" si="458">+X712/L712*100</f>
        <v>112.48664816766836</v>
      </c>
      <c r="BE712" s="949">
        <f t="shared" ref="BE712:BE739" si="459">+X712/T712*100</f>
        <v>107.85603964921992</v>
      </c>
      <c r="BF712" s="949">
        <f t="shared" ref="BF712:BF739" si="460">+X712/W712*100</f>
        <v>101.68290586350615</v>
      </c>
      <c r="BG712" s="949">
        <f t="shared" ref="BG712:BG739" si="461">+W712/K712*100</f>
        <v>114.65445535009795</v>
      </c>
      <c r="BH712" s="949">
        <f t="shared" ref="BH712:BH739" si="462">+W712/T712*100</f>
        <v>106.07096515711329</v>
      </c>
      <c r="BI712" s="949">
        <f t="shared" ref="BI712:BI739" si="463">+W712/V712*100</f>
        <v>101.43023944999427</v>
      </c>
      <c r="BJ712" s="949">
        <f t="shared" ref="BJ712:BJ739" si="464">+V712/U712*100</f>
        <v>103.53462112359824</v>
      </c>
      <c r="BK712" s="949">
        <f t="shared" ref="BK712:BK739" si="465">+V712/J712*100</f>
        <v>113.03774492874314</v>
      </c>
      <c r="BL712" s="949">
        <f t="shared" ref="BL712:BL739" si="466">+V712/T712*100</f>
        <v>104.57528813131405</v>
      </c>
      <c r="BM712" s="949">
        <v>101.00513914710083</v>
      </c>
      <c r="BN712" s="949">
        <v>109.17869182502751</v>
      </c>
    </row>
    <row r="713" spans="1:66">
      <c r="A713" s="937"/>
      <c r="B713" s="948" t="s">
        <v>1665</v>
      </c>
      <c r="C713" s="936"/>
      <c r="D713" s="758"/>
      <c r="E713" s="941"/>
      <c r="F713" s="758"/>
      <c r="G713" s="933"/>
      <c r="H713" s="932">
        <f t="shared" ref="H713:AF713" si="467">+H538</f>
        <v>99.999999999999986</v>
      </c>
      <c r="I713" s="932">
        <f t="shared" si="467"/>
        <v>99.999999999999986</v>
      </c>
      <c r="J713" s="932">
        <f t="shared" si="467"/>
        <v>99.999999999999986</v>
      </c>
      <c r="K713" s="932">
        <f t="shared" si="467"/>
        <v>99.999999999999986</v>
      </c>
      <c r="L713" s="932">
        <f t="shared" si="467"/>
        <v>100.4530226002051</v>
      </c>
      <c r="M713" s="932">
        <f t="shared" si="467"/>
        <v>100.4530226002051</v>
      </c>
      <c r="N713" s="932">
        <f t="shared" si="467"/>
        <v>100.4530226002051</v>
      </c>
      <c r="O713" s="932">
        <f t="shared" si="467"/>
        <v>101.52368419090894</v>
      </c>
      <c r="P713" s="932">
        <f t="shared" si="467"/>
        <v>103.33577459172936</v>
      </c>
      <c r="Q713" s="932">
        <f t="shared" si="467"/>
        <v>103.33577459172936</v>
      </c>
      <c r="R713" s="932">
        <f t="shared" si="467"/>
        <v>103.33577459172936</v>
      </c>
      <c r="S713" s="932">
        <f t="shared" si="467"/>
        <v>103.33577459172936</v>
      </c>
      <c r="T713" s="932">
        <f t="shared" si="467"/>
        <v>103.33577459172936</v>
      </c>
      <c r="U713" s="932">
        <f t="shared" si="467"/>
        <v>105.3620673741711</v>
      </c>
      <c r="V713" s="932">
        <f t="shared" si="467"/>
        <v>110.71537532769024</v>
      </c>
      <c r="W713" s="932">
        <f t="shared" si="467"/>
        <v>113.06775869674944</v>
      </c>
      <c r="X713" s="932">
        <f t="shared" si="467"/>
        <v>116.2797434688609</v>
      </c>
      <c r="Y713" s="932">
        <f t="shared" si="467"/>
        <v>116.2797434688609</v>
      </c>
      <c r="Z713" s="932">
        <f t="shared" si="467"/>
        <v>119.25268978201041</v>
      </c>
      <c r="AA713" s="932">
        <f t="shared" si="467"/>
        <v>119.25268978201041</v>
      </c>
      <c r="AB713" s="932">
        <f t="shared" si="467"/>
        <v>119.3427386100502</v>
      </c>
      <c r="AC713" s="932">
        <f t="shared" si="467"/>
        <v>119.3427386100502</v>
      </c>
      <c r="AD713" s="932">
        <f t="shared" si="467"/>
        <v>119.70293392220938</v>
      </c>
      <c r="AE713" s="932">
        <f t="shared" si="467"/>
        <v>119.34957733853874</v>
      </c>
      <c r="AF713" s="932">
        <f t="shared" si="467"/>
        <v>119.34957733853874</v>
      </c>
      <c r="AG713" s="932">
        <f t="shared" si="435"/>
        <v>115.49686235002206</v>
      </c>
      <c r="AH713" s="932">
        <f t="shared" si="436"/>
        <v>100</v>
      </c>
      <c r="AI713" s="932">
        <f t="shared" si="437"/>
        <v>115.49686235002206</v>
      </c>
      <c r="AJ713" s="932">
        <f t="shared" si="438"/>
        <v>115.49686235002206</v>
      </c>
      <c r="AK713" s="932">
        <f t="shared" si="439"/>
        <v>99.704805411118585</v>
      </c>
      <c r="AL713" s="932">
        <f t="shared" si="440"/>
        <v>115.83881225562516</v>
      </c>
      <c r="AM713" s="932">
        <f t="shared" si="441"/>
        <v>115.83881225562516</v>
      </c>
      <c r="AN713" s="932">
        <f t="shared" si="442"/>
        <v>100.30181585939309</v>
      </c>
      <c r="AO713" s="932">
        <f t="shared" si="443"/>
        <v>115.49024438202835</v>
      </c>
      <c r="AP713" s="932">
        <f t="shared" si="444"/>
        <v>115.49024438202835</v>
      </c>
      <c r="AQ713" s="932">
        <f t="shared" si="445"/>
        <v>100</v>
      </c>
      <c r="AR713" s="932">
        <f t="shared" si="446"/>
        <v>115.49024438202835</v>
      </c>
      <c r="AS713" s="932">
        <f t="shared" si="447"/>
        <v>115.49024438202835</v>
      </c>
      <c r="AT713" s="932">
        <f t="shared" si="448"/>
        <v>100.07551094084704</v>
      </c>
      <c r="AU713" s="932">
        <f t="shared" si="449"/>
        <v>117.46292575214585</v>
      </c>
      <c r="AV713" s="932">
        <f t="shared" si="450"/>
        <v>115.40310241362914</v>
      </c>
      <c r="AW713" s="932">
        <f t="shared" si="451"/>
        <v>100</v>
      </c>
      <c r="AX713" s="932">
        <f t="shared" si="452"/>
        <v>118.71488452530339</v>
      </c>
      <c r="AY713" s="932">
        <f t="shared" si="453"/>
        <v>115.40310241362914</v>
      </c>
      <c r="AZ713" s="932">
        <f t="shared" si="454"/>
        <v>102.55671901610761</v>
      </c>
      <c r="BA713" s="932">
        <f t="shared" si="455"/>
        <v>115.7553455923819</v>
      </c>
      <c r="BB713" s="932">
        <f t="shared" si="456"/>
        <v>112.52612556326407</v>
      </c>
      <c r="BC713" s="932">
        <f t="shared" si="457"/>
        <v>100</v>
      </c>
      <c r="BD713" s="932">
        <f t="shared" si="458"/>
        <v>115.7553455923819</v>
      </c>
      <c r="BE713" s="932">
        <f t="shared" si="459"/>
        <v>112.52612556326407</v>
      </c>
      <c r="BF713" s="932">
        <f t="shared" si="460"/>
        <v>102.84076098185169</v>
      </c>
      <c r="BG713" s="932">
        <f t="shared" si="461"/>
        <v>113.06775869674945</v>
      </c>
      <c r="BH713" s="932">
        <f t="shared" si="462"/>
        <v>109.41782663697089</v>
      </c>
      <c r="BI713" s="932">
        <f t="shared" si="463"/>
        <v>102.12471245488418</v>
      </c>
      <c r="BJ713" s="932">
        <f t="shared" si="464"/>
        <v>105.08086836841193</v>
      </c>
      <c r="BK713" s="932">
        <f t="shared" si="465"/>
        <v>110.71537532769025</v>
      </c>
      <c r="BL713" s="932">
        <f t="shared" si="466"/>
        <v>107.14138038362518</v>
      </c>
      <c r="BM713" s="932">
        <v>101.9608821731365</v>
      </c>
      <c r="BN713" s="932">
        <v>105.3620673741711</v>
      </c>
    </row>
    <row r="714" spans="1:66">
      <c r="A714" s="937"/>
      <c r="B714" s="948" t="s">
        <v>1664</v>
      </c>
      <c r="C714" s="936"/>
      <c r="D714" s="935"/>
      <c r="E714" s="941"/>
      <c r="F714" s="758"/>
      <c r="G714" s="933"/>
      <c r="H714" s="932">
        <f t="shared" ref="H714:AF714" si="468">+H544</f>
        <v>100</v>
      </c>
      <c r="I714" s="932">
        <f t="shared" si="468"/>
        <v>100</v>
      </c>
      <c r="J714" s="932">
        <f t="shared" si="468"/>
        <v>100</v>
      </c>
      <c r="K714" s="932">
        <f t="shared" si="468"/>
        <v>100</v>
      </c>
      <c r="L714" s="932">
        <f t="shared" si="468"/>
        <v>101.38668797101016</v>
      </c>
      <c r="M714" s="932">
        <f t="shared" si="468"/>
        <v>101.38668797101016</v>
      </c>
      <c r="N714" s="932">
        <f t="shared" si="468"/>
        <v>101.38668797101016</v>
      </c>
      <c r="O714" s="932">
        <f t="shared" si="468"/>
        <v>101.38668797101016</v>
      </c>
      <c r="P714" s="932">
        <f t="shared" si="468"/>
        <v>101.38668797101016</v>
      </c>
      <c r="Q714" s="932">
        <f t="shared" si="468"/>
        <v>101.38668797101016</v>
      </c>
      <c r="R714" s="932">
        <f t="shared" si="468"/>
        <v>101.38668797101016</v>
      </c>
      <c r="S714" s="932">
        <f t="shared" si="468"/>
        <v>101.38668797101016</v>
      </c>
      <c r="T714" s="932">
        <f t="shared" si="468"/>
        <v>106.76414881239188</v>
      </c>
      <c r="U714" s="932">
        <f t="shared" si="468"/>
        <v>111.7358106776565</v>
      </c>
      <c r="V714" s="932">
        <f t="shared" si="468"/>
        <v>114.30914533757864</v>
      </c>
      <c r="W714" s="932">
        <f t="shared" si="468"/>
        <v>117.8941192318331</v>
      </c>
      <c r="X714" s="932">
        <f t="shared" si="468"/>
        <v>122.03726492976729</v>
      </c>
      <c r="Y714" s="932">
        <f t="shared" si="468"/>
        <v>124.05242778600972</v>
      </c>
      <c r="Z714" s="932">
        <f t="shared" si="468"/>
        <v>128.75780309383472</v>
      </c>
      <c r="AA714" s="932">
        <f t="shared" si="468"/>
        <v>128.75780309383472</v>
      </c>
      <c r="AB714" s="932">
        <f t="shared" si="468"/>
        <v>128.75780309383472</v>
      </c>
      <c r="AC714" s="932">
        <f t="shared" si="468"/>
        <v>128.75780309383472</v>
      </c>
      <c r="AD714" s="932">
        <f t="shared" si="468"/>
        <v>129.31800380062</v>
      </c>
      <c r="AE714" s="932">
        <f t="shared" si="468"/>
        <v>129.31800380062</v>
      </c>
      <c r="AF714" s="932">
        <f t="shared" si="468"/>
        <v>131.83695737092305</v>
      </c>
      <c r="AG714" s="932">
        <f t="shared" si="435"/>
        <v>123.48429584034768</v>
      </c>
      <c r="AH714" s="932">
        <f t="shared" si="436"/>
        <v>101.94787538956038</v>
      </c>
      <c r="AI714" s="932">
        <f t="shared" si="437"/>
        <v>127.54929309614724</v>
      </c>
      <c r="AJ714" s="932">
        <f t="shared" si="438"/>
        <v>121.12493307829411</v>
      </c>
      <c r="AK714" s="932">
        <f t="shared" si="439"/>
        <v>100</v>
      </c>
      <c r="AL714" s="932">
        <f t="shared" si="440"/>
        <v>127.54929309614724</v>
      </c>
      <c r="AM714" s="932">
        <f t="shared" si="441"/>
        <v>121.12493307829411</v>
      </c>
      <c r="AN714" s="932">
        <f t="shared" si="442"/>
        <v>100.43508097631724</v>
      </c>
      <c r="AO714" s="932">
        <f t="shared" si="443"/>
        <v>126.99675437731123</v>
      </c>
      <c r="AP714" s="932">
        <f t="shared" si="444"/>
        <v>120.60022444434088</v>
      </c>
      <c r="AQ714" s="932">
        <f t="shared" si="445"/>
        <v>100</v>
      </c>
      <c r="AR714" s="932">
        <f t="shared" si="446"/>
        <v>126.99675437731123</v>
      </c>
      <c r="AS714" s="932">
        <f t="shared" si="447"/>
        <v>120.60022444434088</v>
      </c>
      <c r="AT714" s="932">
        <f t="shared" si="448"/>
        <v>100</v>
      </c>
      <c r="AU714" s="932">
        <f t="shared" si="449"/>
        <v>126.99675437731123</v>
      </c>
      <c r="AV714" s="932">
        <f t="shared" si="450"/>
        <v>120.60022444434088</v>
      </c>
      <c r="AW714" s="932">
        <f t="shared" si="451"/>
        <v>100</v>
      </c>
      <c r="AX714" s="932">
        <f t="shared" si="452"/>
        <v>126.99675437731123</v>
      </c>
      <c r="AY714" s="932">
        <f t="shared" si="453"/>
        <v>120.60022444434088</v>
      </c>
      <c r="AZ714" s="932">
        <f t="shared" si="454"/>
        <v>103.79305378524455</v>
      </c>
      <c r="BA714" s="932">
        <f t="shared" si="455"/>
        <v>122.35573551971679</v>
      </c>
      <c r="BB714" s="932">
        <f t="shared" si="456"/>
        <v>116.1929628680852</v>
      </c>
      <c r="BC714" s="932">
        <f t="shared" si="457"/>
        <v>101.65126845263384</v>
      </c>
      <c r="BD714" s="932">
        <f t="shared" si="458"/>
        <v>120.36813448789432</v>
      </c>
      <c r="BE714" s="932">
        <f t="shared" si="459"/>
        <v>114.30547265844233</v>
      </c>
      <c r="BF714" s="932">
        <f t="shared" si="460"/>
        <v>103.51429377896864</v>
      </c>
      <c r="BG714" s="932">
        <f t="shared" si="461"/>
        <v>117.8941192318331</v>
      </c>
      <c r="BH714" s="932">
        <f t="shared" si="462"/>
        <v>110.42482007607164</v>
      </c>
      <c r="BI714" s="932">
        <f t="shared" si="463"/>
        <v>103.13620916652582</v>
      </c>
      <c r="BJ714" s="932">
        <f t="shared" si="464"/>
        <v>102.30305274944116</v>
      </c>
      <c r="BK714" s="932">
        <f t="shared" si="465"/>
        <v>114.30914533757863</v>
      </c>
      <c r="BL714" s="932">
        <f t="shared" si="466"/>
        <v>107.06697576772235</v>
      </c>
      <c r="BM714" s="932">
        <v>104.65667728405808</v>
      </c>
      <c r="BN714" s="932">
        <v>111.7358106776565</v>
      </c>
    </row>
    <row r="715" spans="1:66" ht="14.25" customHeight="1">
      <c r="A715" s="937"/>
      <c r="B715" s="944" t="s">
        <v>1663</v>
      </c>
      <c r="C715" s="943"/>
      <c r="D715" s="943"/>
      <c r="E715" s="943"/>
      <c r="F715" s="943"/>
      <c r="G715" s="933"/>
      <c r="H715" s="942">
        <f t="shared" ref="H715:AF715" si="469">+H550</f>
        <v>100.00000000000001</v>
      </c>
      <c r="I715" s="942">
        <f t="shared" si="469"/>
        <v>100.00000000000001</v>
      </c>
      <c r="J715" s="942">
        <f t="shared" si="469"/>
        <v>100.00000000000001</v>
      </c>
      <c r="K715" s="942">
        <f t="shared" si="469"/>
        <v>100.00000000000001</v>
      </c>
      <c r="L715" s="942">
        <f t="shared" si="469"/>
        <v>100.00000000000001</v>
      </c>
      <c r="M715" s="942">
        <f t="shared" si="469"/>
        <v>100.00000000000001</v>
      </c>
      <c r="N715" s="942">
        <f t="shared" si="469"/>
        <v>100.00000000000001</v>
      </c>
      <c r="O715" s="942">
        <f t="shared" si="469"/>
        <v>100.00000000000001</v>
      </c>
      <c r="P715" s="942">
        <f t="shared" si="469"/>
        <v>100.00000000000001</v>
      </c>
      <c r="Q715" s="942">
        <f t="shared" si="469"/>
        <v>102.10789563785755</v>
      </c>
      <c r="R715" s="942">
        <f t="shared" si="469"/>
        <v>102.10789563785755</v>
      </c>
      <c r="S715" s="942">
        <f t="shared" si="469"/>
        <v>102.10789563785755</v>
      </c>
      <c r="T715" s="942">
        <f t="shared" si="469"/>
        <v>102.10789563785755</v>
      </c>
      <c r="U715" s="942">
        <f t="shared" si="469"/>
        <v>114.51369974005142</v>
      </c>
      <c r="V715" s="942">
        <f t="shared" si="469"/>
        <v>121.64976474760145</v>
      </c>
      <c r="W715" s="942">
        <f t="shared" si="469"/>
        <v>116.38002565295761</v>
      </c>
      <c r="X715" s="942">
        <f t="shared" si="469"/>
        <v>116.38002565295761</v>
      </c>
      <c r="Y715" s="942">
        <f t="shared" si="469"/>
        <v>116.38002565295761</v>
      </c>
      <c r="Z715" s="942">
        <f t="shared" si="469"/>
        <v>116.38002565295761</v>
      </c>
      <c r="AA715" s="942">
        <f t="shared" si="469"/>
        <v>116.38002565295761</v>
      </c>
      <c r="AB715" s="942">
        <f t="shared" si="469"/>
        <v>116.38002565295761</v>
      </c>
      <c r="AC715" s="942">
        <f t="shared" si="469"/>
        <v>119.94805815673263</v>
      </c>
      <c r="AD715" s="942">
        <f t="shared" si="469"/>
        <v>127.08412316428266</v>
      </c>
      <c r="AE715" s="942">
        <f t="shared" si="469"/>
        <v>134.22018817183269</v>
      </c>
      <c r="AF715" s="942">
        <f t="shared" si="469"/>
        <v>141.35625317938272</v>
      </c>
      <c r="AG715" s="942">
        <f t="shared" si="435"/>
        <v>138.43812204369181</v>
      </c>
      <c r="AH715" s="942">
        <f t="shared" si="436"/>
        <v>105.31668529507216</v>
      </c>
      <c r="AI715" s="942">
        <f t="shared" si="437"/>
        <v>131.4493725812024</v>
      </c>
      <c r="AJ715" s="942">
        <f t="shared" si="438"/>
        <v>131.4493725812024</v>
      </c>
      <c r="AK715" s="942">
        <f t="shared" si="439"/>
        <v>105.61522936923062</v>
      </c>
      <c r="AL715" s="942">
        <f t="shared" si="440"/>
        <v>124.46062311871297</v>
      </c>
      <c r="AM715" s="942">
        <f t="shared" si="441"/>
        <v>124.46062311871297</v>
      </c>
      <c r="AN715" s="942">
        <f t="shared" si="442"/>
        <v>105.94929598462157</v>
      </c>
      <c r="AO715" s="942">
        <f t="shared" si="443"/>
        <v>117.47187365622355</v>
      </c>
      <c r="AP715" s="942">
        <f t="shared" si="444"/>
        <v>117.47187365622355</v>
      </c>
      <c r="AQ715" s="942">
        <f t="shared" si="445"/>
        <v>103.06584612243925</v>
      </c>
      <c r="AR715" s="942">
        <f t="shared" si="446"/>
        <v>116.3800256529576</v>
      </c>
      <c r="AS715" s="942">
        <f t="shared" si="447"/>
        <v>113.97749892497883</v>
      </c>
      <c r="AT715" s="942">
        <f t="shared" si="448"/>
        <v>100</v>
      </c>
      <c r="AU715" s="942">
        <f t="shared" si="449"/>
        <v>116.3800256529576</v>
      </c>
      <c r="AV715" s="942">
        <f t="shared" si="450"/>
        <v>113.97749892497883</v>
      </c>
      <c r="AW715" s="942">
        <f t="shared" si="451"/>
        <v>100</v>
      </c>
      <c r="AX715" s="942">
        <f t="shared" si="452"/>
        <v>116.3800256529576</v>
      </c>
      <c r="AY715" s="942">
        <f t="shared" si="453"/>
        <v>113.97749892497883</v>
      </c>
      <c r="AZ715" s="942">
        <f t="shared" si="454"/>
        <v>100</v>
      </c>
      <c r="BA715" s="942">
        <f t="shared" si="455"/>
        <v>116.3800256529576</v>
      </c>
      <c r="BB715" s="942">
        <f t="shared" si="456"/>
        <v>113.97749892497883</v>
      </c>
      <c r="BC715" s="942">
        <f t="shared" si="457"/>
        <v>100</v>
      </c>
      <c r="BD715" s="942">
        <f t="shared" si="458"/>
        <v>116.3800256529576</v>
      </c>
      <c r="BE715" s="942">
        <f t="shared" si="459"/>
        <v>113.97749892497883</v>
      </c>
      <c r="BF715" s="942">
        <f t="shared" si="460"/>
        <v>100</v>
      </c>
      <c r="BG715" s="942">
        <f t="shared" si="461"/>
        <v>116.3800256529576</v>
      </c>
      <c r="BH715" s="942">
        <f t="shared" si="462"/>
        <v>113.97749892497883</v>
      </c>
      <c r="BI715" s="942">
        <f t="shared" si="463"/>
        <v>95.668105807210168</v>
      </c>
      <c r="BJ715" s="942">
        <f t="shared" si="464"/>
        <v>106.23162558169814</v>
      </c>
      <c r="BK715" s="942">
        <f t="shared" si="465"/>
        <v>121.64976474760142</v>
      </c>
      <c r="BL715" s="942">
        <f t="shared" si="466"/>
        <v>119.13845054554091</v>
      </c>
      <c r="BM715" s="942">
        <v>112.1497010830515</v>
      </c>
      <c r="BN715" s="942">
        <v>114.51369974005141</v>
      </c>
    </row>
    <row r="716" spans="1:66" ht="14.25" customHeight="1">
      <c r="A716" s="937"/>
      <c r="B716" s="944" t="s">
        <v>1662</v>
      </c>
      <c r="C716" s="943"/>
      <c r="D716" s="943"/>
      <c r="E716" s="943"/>
      <c r="F716" s="943"/>
      <c r="G716" s="933"/>
      <c r="H716" s="942">
        <f t="shared" ref="H716:AF716" si="470">+H555</f>
        <v>99.999999999999986</v>
      </c>
      <c r="I716" s="942">
        <f t="shared" si="470"/>
        <v>101.38183824182661</v>
      </c>
      <c r="J716" s="942">
        <f t="shared" si="470"/>
        <v>99.999999999999986</v>
      </c>
      <c r="K716" s="942">
        <f t="shared" si="470"/>
        <v>101.17845673000258</v>
      </c>
      <c r="L716" s="942">
        <f t="shared" si="470"/>
        <v>104.84788744771654</v>
      </c>
      <c r="M716" s="942">
        <f t="shared" si="470"/>
        <v>107.45005630566172</v>
      </c>
      <c r="N716" s="942">
        <f t="shared" si="470"/>
        <v>108.43180467009611</v>
      </c>
      <c r="O716" s="942">
        <f t="shared" si="470"/>
        <v>108.43180467009611</v>
      </c>
      <c r="P716" s="942">
        <f t="shared" si="470"/>
        <v>108.43180467009611</v>
      </c>
      <c r="Q716" s="942">
        <f t="shared" si="470"/>
        <v>110.02618730480548</v>
      </c>
      <c r="R716" s="942">
        <f t="shared" si="470"/>
        <v>111.82676440779169</v>
      </c>
      <c r="S716" s="942">
        <f t="shared" si="470"/>
        <v>111.99244491453699</v>
      </c>
      <c r="T716" s="942">
        <f t="shared" si="470"/>
        <v>111.99244491453699</v>
      </c>
      <c r="U716" s="942">
        <f t="shared" si="470"/>
        <v>115.19382955608637</v>
      </c>
      <c r="V716" s="942">
        <f t="shared" si="470"/>
        <v>116.50693893401139</v>
      </c>
      <c r="W716" s="942">
        <f t="shared" si="470"/>
        <v>124.53533670574184</v>
      </c>
      <c r="X716" s="942">
        <f t="shared" si="470"/>
        <v>127.04776987269932</v>
      </c>
      <c r="Y716" s="942">
        <f t="shared" si="470"/>
        <v>127.04776987269932</v>
      </c>
      <c r="Z716" s="942">
        <f t="shared" si="470"/>
        <v>127.04776987269932</v>
      </c>
      <c r="AA716" s="942">
        <f t="shared" si="470"/>
        <v>127.04776987269932</v>
      </c>
      <c r="AB716" s="942">
        <f t="shared" si="470"/>
        <v>127.04776987269932</v>
      </c>
      <c r="AC716" s="942">
        <f t="shared" si="470"/>
        <v>128.55048786682664</v>
      </c>
      <c r="AD716" s="942">
        <f t="shared" si="470"/>
        <v>128.55048786682664</v>
      </c>
      <c r="AE716" s="942">
        <f t="shared" si="470"/>
        <v>128.55048786682664</v>
      </c>
      <c r="AF716" s="942">
        <f t="shared" si="470"/>
        <v>131.38079304676162</v>
      </c>
      <c r="AG716" s="942">
        <f t="shared" si="435"/>
        <v>117.31219293142512</v>
      </c>
      <c r="AH716" s="942">
        <f t="shared" si="436"/>
        <v>102.2017070700401</v>
      </c>
      <c r="AI716" s="942">
        <f t="shared" si="437"/>
        <v>114.78496425801342</v>
      </c>
      <c r="AJ716" s="942">
        <f t="shared" si="438"/>
        <v>114.78496425801342</v>
      </c>
      <c r="AK716" s="942">
        <f t="shared" si="439"/>
        <v>100</v>
      </c>
      <c r="AL716" s="942">
        <f t="shared" si="440"/>
        <v>114.95502758002512</v>
      </c>
      <c r="AM716" s="942">
        <f t="shared" si="441"/>
        <v>114.78496425801342</v>
      </c>
      <c r="AN716" s="942">
        <f t="shared" si="442"/>
        <v>100</v>
      </c>
      <c r="AO716" s="942">
        <f t="shared" si="443"/>
        <v>116.83626508905857</v>
      </c>
      <c r="AP716" s="942">
        <f t="shared" si="444"/>
        <v>114.78496425801342</v>
      </c>
      <c r="AQ716" s="942">
        <f t="shared" si="445"/>
        <v>101.18279761670199</v>
      </c>
      <c r="AR716" s="942">
        <f t="shared" si="446"/>
        <v>117.16836241842724</v>
      </c>
      <c r="AS716" s="942">
        <f t="shared" si="447"/>
        <v>113.4431612504319</v>
      </c>
      <c r="AT716" s="942">
        <f t="shared" si="448"/>
        <v>100</v>
      </c>
      <c r="AU716" s="942">
        <f t="shared" si="449"/>
        <v>117.16836241842724</v>
      </c>
      <c r="AV716" s="942">
        <f t="shared" si="450"/>
        <v>113.4431612504319</v>
      </c>
      <c r="AW716" s="942">
        <f t="shared" si="451"/>
        <v>100</v>
      </c>
      <c r="AX716" s="942">
        <f t="shared" si="452"/>
        <v>117.16836241842724</v>
      </c>
      <c r="AY716" s="942">
        <f t="shared" si="453"/>
        <v>113.4431612504319</v>
      </c>
      <c r="AZ716" s="942">
        <f t="shared" si="454"/>
        <v>100</v>
      </c>
      <c r="BA716" s="942">
        <f t="shared" si="455"/>
        <v>118.23890488366824</v>
      </c>
      <c r="BB716" s="942">
        <f t="shared" si="456"/>
        <v>113.4431612504319</v>
      </c>
      <c r="BC716" s="942">
        <f t="shared" si="457"/>
        <v>100</v>
      </c>
      <c r="BD716" s="942">
        <f t="shared" si="458"/>
        <v>121.17341890751301</v>
      </c>
      <c r="BE716" s="942">
        <f t="shared" si="459"/>
        <v>113.4431612504319</v>
      </c>
      <c r="BF716" s="942">
        <f t="shared" si="460"/>
        <v>102.01744599839479</v>
      </c>
      <c r="BG716" s="942">
        <f t="shared" si="461"/>
        <v>123.08483518192783</v>
      </c>
      <c r="BH716" s="942">
        <f t="shared" si="462"/>
        <v>111.19976602062442</v>
      </c>
      <c r="BI716" s="942">
        <f t="shared" si="463"/>
        <v>106.89091812486609</v>
      </c>
      <c r="BJ716" s="942">
        <f t="shared" si="464"/>
        <v>101.13991294758169</v>
      </c>
      <c r="BK716" s="942">
        <f t="shared" si="465"/>
        <v>116.5069389340114</v>
      </c>
      <c r="BL716" s="942">
        <f t="shared" si="466"/>
        <v>104.0310701520263</v>
      </c>
      <c r="BM716" s="942">
        <v>102.85857197241511</v>
      </c>
      <c r="BN716" s="942">
        <v>113.62373335677141</v>
      </c>
    </row>
    <row r="717" spans="1:66">
      <c r="A717" s="937" t="s">
        <v>1661</v>
      </c>
      <c r="B717" s="937"/>
      <c r="C717" s="758"/>
      <c r="D717" s="935"/>
      <c r="E717" s="941"/>
      <c r="F717" s="758"/>
      <c r="G717" s="933"/>
      <c r="H717" s="939">
        <f t="shared" ref="H717:AF717" si="471">+H562</f>
        <v>100</v>
      </c>
      <c r="I717" s="939">
        <f t="shared" si="471"/>
        <v>100</v>
      </c>
      <c r="J717" s="939">
        <f t="shared" si="471"/>
        <v>100</v>
      </c>
      <c r="K717" s="939">
        <f t="shared" si="471"/>
        <v>100</v>
      </c>
      <c r="L717" s="939">
        <f t="shared" si="471"/>
        <v>101.75564079493893</v>
      </c>
      <c r="M717" s="939">
        <f t="shared" si="471"/>
        <v>106.86414511740649</v>
      </c>
      <c r="N717" s="939">
        <f t="shared" si="471"/>
        <v>106.86414511740649</v>
      </c>
      <c r="O717" s="939">
        <f t="shared" si="471"/>
        <v>106.93054740683311</v>
      </c>
      <c r="P717" s="939">
        <f t="shared" si="471"/>
        <v>106.93054740683311</v>
      </c>
      <c r="Q717" s="939">
        <f t="shared" si="471"/>
        <v>106.93054740683311</v>
      </c>
      <c r="R717" s="939">
        <f t="shared" si="471"/>
        <v>106.93054740683311</v>
      </c>
      <c r="S717" s="939">
        <f t="shared" si="471"/>
        <v>106.93054740683311</v>
      </c>
      <c r="T717" s="939">
        <f t="shared" si="471"/>
        <v>107.74388304092763</v>
      </c>
      <c r="U717" s="939">
        <f t="shared" si="471"/>
        <v>108.461520638647</v>
      </c>
      <c r="V717" s="939">
        <f t="shared" si="471"/>
        <v>110.088191906836</v>
      </c>
      <c r="W717" s="939">
        <f t="shared" si="471"/>
        <v>110.088191906836</v>
      </c>
      <c r="X717" s="939">
        <f t="shared" si="471"/>
        <v>112.63388649038603</v>
      </c>
      <c r="Y717" s="939">
        <f t="shared" si="471"/>
        <v>112.63388649038603</v>
      </c>
      <c r="Z717" s="939">
        <f t="shared" si="471"/>
        <v>112.63388649038603</v>
      </c>
      <c r="AA717" s="939">
        <f t="shared" si="471"/>
        <v>114.71746140945599</v>
      </c>
      <c r="AB717" s="939">
        <f t="shared" si="471"/>
        <v>114.71746140945599</v>
      </c>
      <c r="AC717" s="939">
        <f t="shared" si="471"/>
        <v>115.08941809917155</v>
      </c>
      <c r="AD717" s="939">
        <f t="shared" si="471"/>
        <v>115.08941809917155</v>
      </c>
      <c r="AE717" s="939">
        <f t="shared" si="471"/>
        <v>115.08941809917155</v>
      </c>
      <c r="AF717" s="939">
        <f t="shared" si="471"/>
        <v>115.08941809917155</v>
      </c>
      <c r="AG717" s="939">
        <f t="shared" si="435"/>
        <v>106.81758894419431</v>
      </c>
      <c r="AH717" s="939">
        <f t="shared" si="436"/>
        <v>100</v>
      </c>
      <c r="AI717" s="939">
        <f t="shared" si="437"/>
        <v>107.63006539309745</v>
      </c>
      <c r="AJ717" s="939">
        <f t="shared" si="438"/>
        <v>106.81758894419431</v>
      </c>
      <c r="AK717" s="939">
        <f t="shared" si="439"/>
        <v>100</v>
      </c>
      <c r="AL717" s="939">
        <f t="shared" si="440"/>
        <v>107.63006539309745</v>
      </c>
      <c r="AM717" s="939">
        <f t="shared" si="441"/>
        <v>106.81758894419431</v>
      </c>
      <c r="AN717" s="939">
        <f t="shared" si="442"/>
        <v>100</v>
      </c>
      <c r="AO717" s="939">
        <f t="shared" si="443"/>
        <v>107.63006539309745</v>
      </c>
      <c r="AP717" s="939">
        <f t="shared" si="444"/>
        <v>106.81758894419431</v>
      </c>
      <c r="AQ717" s="939">
        <f t="shared" si="445"/>
        <v>100.3242372042979</v>
      </c>
      <c r="AR717" s="939">
        <f t="shared" si="446"/>
        <v>107.28221653350039</v>
      </c>
      <c r="AS717" s="939">
        <f t="shared" si="447"/>
        <v>106.47236592158033</v>
      </c>
      <c r="AT717" s="939">
        <f t="shared" si="448"/>
        <v>100</v>
      </c>
      <c r="AU717" s="939">
        <f t="shared" si="449"/>
        <v>107.28221653350039</v>
      </c>
      <c r="AV717" s="939">
        <f t="shared" si="450"/>
        <v>106.47236592158033</v>
      </c>
      <c r="AW717" s="939">
        <f t="shared" si="451"/>
        <v>101.84986506636065</v>
      </c>
      <c r="AX717" s="939">
        <f t="shared" si="452"/>
        <v>105.39913678871487</v>
      </c>
      <c r="AY717" s="939">
        <f t="shared" si="453"/>
        <v>104.53854391678171</v>
      </c>
      <c r="AZ717" s="939">
        <f t="shared" si="454"/>
        <v>100</v>
      </c>
      <c r="BA717" s="939">
        <f t="shared" si="455"/>
        <v>105.39913678871487</v>
      </c>
      <c r="BB717" s="939">
        <f t="shared" si="456"/>
        <v>104.53854391678171</v>
      </c>
      <c r="BC717" s="939">
        <f t="shared" si="457"/>
        <v>100</v>
      </c>
      <c r="BD717" s="939">
        <f t="shared" si="458"/>
        <v>110.69055789975249</v>
      </c>
      <c r="BE717" s="939">
        <f t="shared" si="459"/>
        <v>104.53854391678171</v>
      </c>
      <c r="BF717" s="939">
        <f t="shared" si="460"/>
        <v>102.31241383790221</v>
      </c>
      <c r="BG717" s="939">
        <f t="shared" si="461"/>
        <v>110.088191906836</v>
      </c>
      <c r="BH717" s="939">
        <f t="shared" si="462"/>
        <v>102.17581620389333</v>
      </c>
      <c r="BI717" s="939">
        <f t="shared" si="463"/>
        <v>100</v>
      </c>
      <c r="BJ717" s="939">
        <f t="shared" si="464"/>
        <v>101.49976808236762</v>
      </c>
      <c r="BK717" s="939">
        <f t="shared" si="465"/>
        <v>110.088191906836</v>
      </c>
      <c r="BL717" s="939">
        <f t="shared" si="466"/>
        <v>102.17581620389333</v>
      </c>
      <c r="BM717" s="939">
        <v>100.66605878446646</v>
      </c>
      <c r="BN717" s="939">
        <v>108.461520638647</v>
      </c>
    </row>
    <row r="718" spans="1:66">
      <c r="A718" s="937"/>
      <c r="B718" s="936" t="s">
        <v>1660</v>
      </c>
      <c r="C718" s="947"/>
      <c r="D718" s="935"/>
      <c r="E718" s="941"/>
      <c r="F718" s="758"/>
      <c r="G718" s="933"/>
      <c r="H718" s="932">
        <f t="shared" ref="H718:AF718" si="472">+H563</f>
        <v>99.999999999999972</v>
      </c>
      <c r="I718" s="932">
        <f t="shared" si="472"/>
        <v>99.999999999999972</v>
      </c>
      <c r="J718" s="932">
        <f t="shared" si="472"/>
        <v>99.999999999999972</v>
      </c>
      <c r="K718" s="932">
        <f t="shared" si="472"/>
        <v>99.999999999999972</v>
      </c>
      <c r="L718" s="932">
        <f t="shared" si="472"/>
        <v>102.50991342336543</v>
      </c>
      <c r="M718" s="932">
        <f t="shared" si="472"/>
        <v>102.50991342336543</v>
      </c>
      <c r="N718" s="932">
        <f t="shared" si="472"/>
        <v>102.50991342336543</v>
      </c>
      <c r="O718" s="932">
        <f t="shared" si="472"/>
        <v>102.50991342336543</v>
      </c>
      <c r="P718" s="932">
        <f t="shared" si="472"/>
        <v>102.50991342336543</v>
      </c>
      <c r="Q718" s="932">
        <f t="shared" si="472"/>
        <v>102.50991342336543</v>
      </c>
      <c r="R718" s="932">
        <f t="shared" si="472"/>
        <v>102.50991342336543</v>
      </c>
      <c r="S718" s="932">
        <f t="shared" si="472"/>
        <v>102.50991342336543</v>
      </c>
      <c r="T718" s="932">
        <f t="shared" si="472"/>
        <v>103.67268090495968</v>
      </c>
      <c r="U718" s="932">
        <f t="shared" si="472"/>
        <v>104.5087746256746</v>
      </c>
      <c r="V718" s="932">
        <f t="shared" si="472"/>
        <v>106.83430958886305</v>
      </c>
      <c r="W718" s="932">
        <f t="shared" si="472"/>
        <v>106.83430958886305</v>
      </c>
      <c r="X718" s="932">
        <f t="shared" si="472"/>
        <v>110.47370611317493</v>
      </c>
      <c r="Y718" s="932">
        <f t="shared" si="472"/>
        <v>110.47370611317493</v>
      </c>
      <c r="Z718" s="932">
        <f t="shared" si="472"/>
        <v>110.47370611317493</v>
      </c>
      <c r="AA718" s="932">
        <f t="shared" si="472"/>
        <v>113.35751279788076</v>
      </c>
      <c r="AB718" s="932">
        <f t="shared" si="472"/>
        <v>113.35751279788076</v>
      </c>
      <c r="AC718" s="932">
        <f t="shared" si="472"/>
        <v>113.88927253547565</v>
      </c>
      <c r="AD718" s="932">
        <f t="shared" si="472"/>
        <v>113.88927253547565</v>
      </c>
      <c r="AE718" s="932">
        <f t="shared" si="472"/>
        <v>113.88927253547565</v>
      </c>
      <c r="AF718" s="932">
        <f t="shared" si="472"/>
        <v>113.88927253547565</v>
      </c>
      <c r="AG718" s="932">
        <f t="shared" si="435"/>
        <v>109.85466136433944</v>
      </c>
      <c r="AH718" s="932">
        <f t="shared" si="436"/>
        <v>100</v>
      </c>
      <c r="AI718" s="932">
        <f t="shared" si="437"/>
        <v>111.10074014511507</v>
      </c>
      <c r="AJ718" s="932">
        <f t="shared" si="438"/>
        <v>109.85466136433944</v>
      </c>
      <c r="AK718" s="932">
        <f t="shared" si="439"/>
        <v>100</v>
      </c>
      <c r="AL718" s="932">
        <f t="shared" si="440"/>
        <v>111.10074014511507</v>
      </c>
      <c r="AM718" s="932">
        <f t="shared" si="441"/>
        <v>109.85466136433944</v>
      </c>
      <c r="AN718" s="932">
        <f t="shared" si="442"/>
        <v>100</v>
      </c>
      <c r="AO718" s="932">
        <f t="shared" si="443"/>
        <v>111.10074014511507</v>
      </c>
      <c r="AP718" s="932">
        <f t="shared" si="444"/>
        <v>109.85466136433944</v>
      </c>
      <c r="AQ718" s="932">
        <f t="shared" si="445"/>
        <v>100.46909968688449</v>
      </c>
      <c r="AR718" s="932">
        <f t="shared" si="446"/>
        <v>110.58200032782663</v>
      </c>
      <c r="AS718" s="932">
        <f t="shared" si="447"/>
        <v>109.34173960621266</v>
      </c>
      <c r="AT718" s="932">
        <f t="shared" si="448"/>
        <v>100</v>
      </c>
      <c r="AU718" s="932">
        <f t="shared" si="449"/>
        <v>110.58200032782663</v>
      </c>
      <c r="AV718" s="932">
        <f t="shared" si="450"/>
        <v>109.34173960621266</v>
      </c>
      <c r="AW718" s="932">
        <f t="shared" si="451"/>
        <v>102.61040095980081</v>
      </c>
      <c r="AX718" s="932">
        <f t="shared" si="452"/>
        <v>107.76880247368766</v>
      </c>
      <c r="AY718" s="932">
        <f t="shared" si="453"/>
        <v>106.56009389247876</v>
      </c>
      <c r="AZ718" s="932">
        <f t="shared" si="454"/>
        <v>100</v>
      </c>
      <c r="BA718" s="932">
        <f t="shared" si="455"/>
        <v>107.76880247368766</v>
      </c>
      <c r="BB718" s="932">
        <f t="shared" si="456"/>
        <v>106.56009389247876</v>
      </c>
      <c r="BC718" s="932">
        <f t="shared" si="457"/>
        <v>100</v>
      </c>
      <c r="BD718" s="932">
        <f t="shared" si="458"/>
        <v>107.76880247368766</v>
      </c>
      <c r="BE718" s="932">
        <f t="shared" si="459"/>
        <v>106.56009389247876</v>
      </c>
      <c r="BF718" s="932">
        <f t="shared" si="460"/>
        <v>103.40658028148222</v>
      </c>
      <c r="BG718" s="932">
        <f t="shared" si="461"/>
        <v>106.83430958886308</v>
      </c>
      <c r="BH718" s="932">
        <f t="shared" si="462"/>
        <v>103.04962566445228</v>
      </c>
      <c r="BI718" s="932">
        <f t="shared" si="463"/>
        <v>100</v>
      </c>
      <c r="BJ718" s="932">
        <f t="shared" si="464"/>
        <v>102.2252054638646</v>
      </c>
      <c r="BK718" s="932">
        <f t="shared" si="465"/>
        <v>106.83430958886308</v>
      </c>
      <c r="BL718" s="932">
        <f t="shared" si="466"/>
        <v>103.04962566445228</v>
      </c>
      <c r="BM718" s="932">
        <v>100.80647448625488</v>
      </c>
      <c r="BN718" s="932">
        <v>104.50877462567463</v>
      </c>
    </row>
    <row r="719" spans="1:66">
      <c r="A719" s="937"/>
      <c r="B719" s="936" t="s">
        <v>1659</v>
      </c>
      <c r="C719" s="758"/>
      <c r="D719" s="935"/>
      <c r="E719" s="946"/>
      <c r="F719" s="758"/>
      <c r="G719" s="933"/>
      <c r="H719" s="932">
        <f t="shared" ref="H719:AF719" si="473">+H572</f>
        <v>100</v>
      </c>
      <c r="I719" s="932">
        <f t="shared" si="473"/>
        <v>100</v>
      </c>
      <c r="J719" s="932">
        <f t="shared" si="473"/>
        <v>100</v>
      </c>
      <c r="K719" s="932">
        <f t="shared" si="473"/>
        <v>100</v>
      </c>
      <c r="L719" s="932">
        <f t="shared" si="473"/>
        <v>100</v>
      </c>
      <c r="M719" s="932">
        <f t="shared" si="473"/>
        <v>141.1017303442753</v>
      </c>
      <c r="N719" s="932">
        <f t="shared" si="473"/>
        <v>141.1017303442753</v>
      </c>
      <c r="O719" s="932">
        <f t="shared" si="473"/>
        <v>141.63598632645238</v>
      </c>
      <c r="P719" s="932">
        <f t="shared" si="473"/>
        <v>141.63598632645238</v>
      </c>
      <c r="Q719" s="932">
        <f t="shared" si="473"/>
        <v>141.63598632645238</v>
      </c>
      <c r="R719" s="932">
        <f t="shared" si="473"/>
        <v>141.63598632645238</v>
      </c>
      <c r="S719" s="932">
        <f t="shared" si="473"/>
        <v>141.63598632645238</v>
      </c>
      <c r="T719" s="932">
        <f t="shared" si="473"/>
        <v>141.63598632645238</v>
      </c>
      <c r="U719" s="932">
        <f t="shared" si="473"/>
        <v>142.70449829080653</v>
      </c>
      <c r="V719" s="932">
        <f t="shared" si="473"/>
        <v>142.70449829080653</v>
      </c>
      <c r="W719" s="932">
        <f t="shared" si="473"/>
        <v>142.70449829080653</v>
      </c>
      <c r="X719" s="932">
        <f t="shared" si="473"/>
        <v>142.70449829080653</v>
      </c>
      <c r="Y719" s="932">
        <f t="shared" si="473"/>
        <v>142.70449829080653</v>
      </c>
      <c r="Z719" s="932">
        <f t="shared" si="473"/>
        <v>142.70449829080653</v>
      </c>
      <c r="AA719" s="932">
        <f t="shared" si="473"/>
        <v>143.23875427298361</v>
      </c>
      <c r="AB719" s="932">
        <f t="shared" si="473"/>
        <v>143.23875427298361</v>
      </c>
      <c r="AC719" s="932">
        <f t="shared" si="473"/>
        <v>143.23875427298361</v>
      </c>
      <c r="AD719" s="932">
        <f t="shared" si="473"/>
        <v>143.23875427298361</v>
      </c>
      <c r="AE719" s="932">
        <f t="shared" si="473"/>
        <v>143.23875427298361</v>
      </c>
      <c r="AF719" s="932">
        <f t="shared" si="473"/>
        <v>143.23875427298361</v>
      </c>
      <c r="AG719" s="932">
        <f t="shared" si="435"/>
        <v>101.1316106789676</v>
      </c>
      <c r="AH719" s="932">
        <f t="shared" si="436"/>
        <v>100</v>
      </c>
      <c r="AI719" s="932">
        <f t="shared" si="437"/>
        <v>101.1316106789676</v>
      </c>
      <c r="AJ719" s="932">
        <f t="shared" si="438"/>
        <v>101.1316106789676</v>
      </c>
      <c r="AK719" s="932">
        <f t="shared" si="439"/>
        <v>100</v>
      </c>
      <c r="AL719" s="932">
        <f t="shared" si="440"/>
        <v>101.1316106789676</v>
      </c>
      <c r="AM719" s="932">
        <f t="shared" si="441"/>
        <v>101.1316106789676</v>
      </c>
      <c r="AN719" s="932">
        <f t="shared" si="442"/>
        <v>100</v>
      </c>
      <c r="AO719" s="932">
        <f t="shared" si="443"/>
        <v>101.1316106789676</v>
      </c>
      <c r="AP719" s="932">
        <f t="shared" si="444"/>
        <v>101.1316106789676</v>
      </c>
      <c r="AQ719" s="932">
        <f t="shared" si="445"/>
        <v>100</v>
      </c>
      <c r="AR719" s="932">
        <f t="shared" si="446"/>
        <v>101.1316106789676</v>
      </c>
      <c r="AS719" s="932">
        <f t="shared" si="447"/>
        <v>101.1316106789676</v>
      </c>
      <c r="AT719" s="932">
        <f t="shared" si="448"/>
        <v>100</v>
      </c>
      <c r="AU719" s="932">
        <f t="shared" si="449"/>
        <v>101.1316106789676</v>
      </c>
      <c r="AV719" s="932">
        <f t="shared" si="450"/>
        <v>101.1316106789676</v>
      </c>
      <c r="AW719" s="932">
        <f t="shared" si="451"/>
        <v>100.37437921619568</v>
      </c>
      <c r="AX719" s="932">
        <f t="shared" si="452"/>
        <v>101.13589531653555</v>
      </c>
      <c r="AY719" s="932">
        <f t="shared" si="453"/>
        <v>100.75440711931174</v>
      </c>
      <c r="AZ719" s="932">
        <f t="shared" si="454"/>
        <v>100</v>
      </c>
      <c r="BA719" s="932">
        <f t="shared" si="455"/>
        <v>101.13589531653555</v>
      </c>
      <c r="BB719" s="932">
        <f t="shared" si="456"/>
        <v>100.75440711931174</v>
      </c>
      <c r="BC719" s="932">
        <f t="shared" si="457"/>
        <v>100</v>
      </c>
      <c r="BD719" s="932">
        <f t="shared" si="458"/>
        <v>142.70449829080653</v>
      </c>
      <c r="BE719" s="932">
        <f t="shared" si="459"/>
        <v>100.75440711931174</v>
      </c>
      <c r="BF719" s="932">
        <f t="shared" si="460"/>
        <v>100</v>
      </c>
      <c r="BG719" s="932">
        <f t="shared" si="461"/>
        <v>142.70449829080653</v>
      </c>
      <c r="BH719" s="932">
        <f t="shared" si="462"/>
        <v>100.75440711931174</v>
      </c>
      <c r="BI719" s="932">
        <f t="shared" si="463"/>
        <v>100</v>
      </c>
      <c r="BJ719" s="932">
        <f t="shared" si="464"/>
        <v>100</v>
      </c>
      <c r="BK719" s="932">
        <f t="shared" si="465"/>
        <v>142.70449829080653</v>
      </c>
      <c r="BL719" s="932">
        <f t="shared" si="466"/>
        <v>100.75440711931174</v>
      </c>
      <c r="BM719" s="932">
        <v>100.75440711931174</v>
      </c>
      <c r="BN719" s="932">
        <v>142.70449829080653</v>
      </c>
    </row>
    <row r="720" spans="1:66">
      <c r="A720" s="937"/>
      <c r="B720" s="936" t="s">
        <v>1658</v>
      </c>
      <c r="C720" s="758"/>
      <c r="D720" s="935"/>
      <c r="E720" s="934"/>
      <c r="F720" s="758"/>
      <c r="G720" s="933"/>
      <c r="H720" s="932">
        <f t="shared" ref="H720:AF720" si="474">+H576</f>
        <v>99.999999999999986</v>
      </c>
      <c r="I720" s="932">
        <f t="shared" si="474"/>
        <v>99.999999999999986</v>
      </c>
      <c r="J720" s="932">
        <f t="shared" si="474"/>
        <v>99.999999999999986</v>
      </c>
      <c r="K720" s="932">
        <f t="shared" si="474"/>
        <v>99.999999999999986</v>
      </c>
      <c r="L720" s="932">
        <f t="shared" si="474"/>
        <v>99.999999999999986</v>
      </c>
      <c r="M720" s="932">
        <f t="shared" si="474"/>
        <v>99.999999999999986</v>
      </c>
      <c r="N720" s="932">
        <f t="shared" si="474"/>
        <v>99.999999999999986</v>
      </c>
      <c r="O720" s="932">
        <f t="shared" si="474"/>
        <v>99.999999999999986</v>
      </c>
      <c r="P720" s="932">
        <f t="shared" si="474"/>
        <v>99.999999999999986</v>
      </c>
      <c r="Q720" s="932">
        <f t="shared" si="474"/>
        <v>99.999999999999986</v>
      </c>
      <c r="R720" s="932">
        <f t="shared" si="474"/>
        <v>99.999999999999986</v>
      </c>
      <c r="S720" s="932">
        <f t="shared" si="474"/>
        <v>99.999999999999986</v>
      </c>
      <c r="T720" s="932">
        <f t="shared" si="474"/>
        <v>99.999999999999986</v>
      </c>
      <c r="U720" s="932">
        <f t="shared" si="474"/>
        <v>99.999999999999986</v>
      </c>
      <c r="V720" s="932">
        <f t="shared" si="474"/>
        <v>99.999999999999986</v>
      </c>
      <c r="W720" s="932">
        <f t="shared" si="474"/>
        <v>99.999999999999986</v>
      </c>
      <c r="X720" s="932">
        <f t="shared" si="474"/>
        <v>99.999999999999986</v>
      </c>
      <c r="Y720" s="932">
        <f t="shared" si="474"/>
        <v>99.999999999999986</v>
      </c>
      <c r="Z720" s="932">
        <f t="shared" si="474"/>
        <v>99.999999999999986</v>
      </c>
      <c r="AA720" s="932">
        <f t="shared" si="474"/>
        <v>99.999999999999986</v>
      </c>
      <c r="AB720" s="932">
        <f t="shared" si="474"/>
        <v>99.999999999999986</v>
      </c>
      <c r="AC720" s="932">
        <f t="shared" si="474"/>
        <v>99.999999999999986</v>
      </c>
      <c r="AD720" s="932">
        <f t="shared" si="474"/>
        <v>99.999999999999986</v>
      </c>
      <c r="AE720" s="932">
        <f t="shared" si="474"/>
        <v>99.999999999999986</v>
      </c>
      <c r="AF720" s="932">
        <f t="shared" si="474"/>
        <v>99.999999999999986</v>
      </c>
      <c r="AG720" s="932">
        <f t="shared" si="435"/>
        <v>100</v>
      </c>
      <c r="AH720" s="932">
        <f t="shared" si="436"/>
        <v>100</v>
      </c>
      <c r="AI720" s="932">
        <f t="shared" si="437"/>
        <v>100</v>
      </c>
      <c r="AJ720" s="932">
        <f t="shared" si="438"/>
        <v>100</v>
      </c>
      <c r="AK720" s="932">
        <f t="shared" si="439"/>
        <v>100</v>
      </c>
      <c r="AL720" s="932">
        <f t="shared" si="440"/>
        <v>100</v>
      </c>
      <c r="AM720" s="932">
        <f t="shared" si="441"/>
        <v>100</v>
      </c>
      <c r="AN720" s="932">
        <f t="shared" si="442"/>
        <v>100</v>
      </c>
      <c r="AO720" s="932">
        <f t="shared" si="443"/>
        <v>100</v>
      </c>
      <c r="AP720" s="932">
        <f t="shared" si="444"/>
        <v>100</v>
      </c>
      <c r="AQ720" s="932">
        <f t="shared" si="445"/>
        <v>100</v>
      </c>
      <c r="AR720" s="932">
        <f t="shared" si="446"/>
        <v>100</v>
      </c>
      <c r="AS720" s="932">
        <f t="shared" si="447"/>
        <v>100</v>
      </c>
      <c r="AT720" s="932">
        <f t="shared" si="448"/>
        <v>100</v>
      </c>
      <c r="AU720" s="932">
        <f t="shared" si="449"/>
        <v>100</v>
      </c>
      <c r="AV720" s="932">
        <f t="shared" si="450"/>
        <v>100</v>
      </c>
      <c r="AW720" s="932">
        <f t="shared" si="451"/>
        <v>100</v>
      </c>
      <c r="AX720" s="932">
        <f t="shared" si="452"/>
        <v>100</v>
      </c>
      <c r="AY720" s="932">
        <f t="shared" si="453"/>
        <v>100</v>
      </c>
      <c r="AZ720" s="932">
        <f t="shared" si="454"/>
        <v>100</v>
      </c>
      <c r="BA720" s="932">
        <f t="shared" si="455"/>
        <v>100</v>
      </c>
      <c r="BB720" s="932">
        <f t="shared" si="456"/>
        <v>100</v>
      </c>
      <c r="BC720" s="932">
        <f t="shared" si="457"/>
        <v>100</v>
      </c>
      <c r="BD720" s="932">
        <f t="shared" si="458"/>
        <v>100</v>
      </c>
      <c r="BE720" s="932">
        <f t="shared" si="459"/>
        <v>100</v>
      </c>
      <c r="BF720" s="932">
        <f t="shared" si="460"/>
        <v>100</v>
      </c>
      <c r="BG720" s="932">
        <f t="shared" si="461"/>
        <v>100</v>
      </c>
      <c r="BH720" s="932">
        <f t="shared" si="462"/>
        <v>100</v>
      </c>
      <c r="BI720" s="932">
        <f t="shared" si="463"/>
        <v>100</v>
      </c>
      <c r="BJ720" s="932">
        <f t="shared" si="464"/>
        <v>100</v>
      </c>
      <c r="BK720" s="932">
        <f t="shared" si="465"/>
        <v>100</v>
      </c>
      <c r="BL720" s="932">
        <f t="shared" si="466"/>
        <v>100</v>
      </c>
      <c r="BM720" s="932">
        <v>100</v>
      </c>
      <c r="BN720" s="932">
        <v>100</v>
      </c>
    </row>
    <row r="721" spans="1:66">
      <c r="A721" s="937" t="s">
        <v>1657</v>
      </c>
      <c r="B721" s="937"/>
      <c r="C721" s="758"/>
      <c r="D721" s="935"/>
      <c r="E721" s="940"/>
      <c r="F721" s="758"/>
      <c r="G721" s="933"/>
      <c r="H721" s="939">
        <f t="shared" ref="H721:AF721" si="475">+H580</f>
        <v>99.999999999999986</v>
      </c>
      <c r="I721" s="939">
        <f t="shared" si="475"/>
        <v>100.26625113384834</v>
      </c>
      <c r="J721" s="939">
        <f t="shared" si="475"/>
        <v>101.15921647506281</v>
      </c>
      <c r="K721" s="939">
        <f t="shared" si="475"/>
        <v>101.15921647506281</v>
      </c>
      <c r="L721" s="939">
        <f t="shared" si="475"/>
        <v>100.56467125357209</v>
      </c>
      <c r="M721" s="939">
        <f t="shared" si="475"/>
        <v>101.60291681478765</v>
      </c>
      <c r="N721" s="939">
        <f t="shared" si="475"/>
        <v>106.62188303855622</v>
      </c>
      <c r="O721" s="939">
        <f t="shared" si="475"/>
        <v>110.26001739973185</v>
      </c>
      <c r="P721" s="939">
        <f t="shared" si="475"/>
        <v>110.99867909692716</v>
      </c>
      <c r="Q721" s="939">
        <f t="shared" si="475"/>
        <v>110.33305126230628</v>
      </c>
      <c r="R721" s="939">
        <f t="shared" si="475"/>
        <v>110.08442922767988</v>
      </c>
      <c r="S721" s="939">
        <f t="shared" si="475"/>
        <v>110.50227527690662</v>
      </c>
      <c r="T721" s="939">
        <f t="shared" si="475"/>
        <v>110.50227527690662</v>
      </c>
      <c r="U721" s="939">
        <f t="shared" si="475"/>
        <v>115.01885461609692</v>
      </c>
      <c r="V721" s="939">
        <f t="shared" si="475"/>
        <v>116.36867255877216</v>
      </c>
      <c r="W721" s="939">
        <f t="shared" si="475"/>
        <v>115.65301876480522</v>
      </c>
      <c r="X721" s="939">
        <f t="shared" si="475"/>
        <v>115.24265115525229</v>
      </c>
      <c r="Y721" s="939">
        <f t="shared" si="475"/>
        <v>114.84327445447977</v>
      </c>
      <c r="Z721" s="939">
        <f t="shared" si="475"/>
        <v>113.36692411247071</v>
      </c>
      <c r="AA721" s="939">
        <f t="shared" si="475"/>
        <v>113.20437902053418</v>
      </c>
      <c r="AB721" s="939">
        <f t="shared" si="475"/>
        <v>113.03978994269281</v>
      </c>
      <c r="AC721" s="939">
        <f t="shared" si="475"/>
        <v>114.3105567214204</v>
      </c>
      <c r="AD721" s="939">
        <f t="shared" si="475"/>
        <v>114.18624570410719</v>
      </c>
      <c r="AE721" s="939">
        <f t="shared" si="475"/>
        <v>114.18624570410719</v>
      </c>
      <c r="AF721" s="939">
        <f t="shared" si="475"/>
        <v>114.18624570410719</v>
      </c>
      <c r="AG721" s="939">
        <f t="shared" si="435"/>
        <v>103.33384124260697</v>
      </c>
      <c r="AH721" s="939">
        <f t="shared" si="436"/>
        <v>100</v>
      </c>
      <c r="AI721" s="939">
        <f t="shared" si="437"/>
        <v>103.33384124260697</v>
      </c>
      <c r="AJ721" s="939">
        <f t="shared" si="438"/>
        <v>103.33384124260697</v>
      </c>
      <c r="AK721" s="939">
        <f t="shared" si="439"/>
        <v>100</v>
      </c>
      <c r="AL721" s="939">
        <f t="shared" si="440"/>
        <v>103.72606417202184</v>
      </c>
      <c r="AM721" s="939">
        <f t="shared" si="441"/>
        <v>103.33384124260697</v>
      </c>
      <c r="AN721" s="939">
        <f t="shared" si="442"/>
        <v>99.891251498655407</v>
      </c>
      <c r="AO721" s="939">
        <f t="shared" si="443"/>
        <v>103.60499905840361</v>
      </c>
      <c r="AP721" s="939">
        <f t="shared" si="444"/>
        <v>103.44633758442588</v>
      </c>
      <c r="AQ721" s="939">
        <f t="shared" si="445"/>
        <v>101.12417652171135</v>
      </c>
      <c r="AR721" s="939">
        <f t="shared" si="446"/>
        <v>101.8388604822795</v>
      </c>
      <c r="AS721" s="939">
        <f t="shared" si="447"/>
        <v>102.29634607923452</v>
      </c>
      <c r="AT721" s="939">
        <f t="shared" si="448"/>
        <v>99.854608912424212</v>
      </c>
      <c r="AU721" s="939">
        <f t="shared" si="449"/>
        <v>102.67038015251528</v>
      </c>
      <c r="AV721" s="939">
        <f t="shared" si="450"/>
        <v>102.44529240403095</v>
      </c>
      <c r="AW721" s="939">
        <f t="shared" si="451"/>
        <v>99.856620356237883</v>
      </c>
      <c r="AX721" s="939">
        <f t="shared" si="452"/>
        <v>106.32613201126392</v>
      </c>
      <c r="AY721" s="939">
        <f t="shared" si="453"/>
        <v>102.59238900591467</v>
      </c>
      <c r="AZ721" s="939">
        <f t="shared" si="454"/>
        <v>98.714465127346898</v>
      </c>
      <c r="BA721" s="939">
        <f t="shared" si="455"/>
        <v>113.03147395249293</v>
      </c>
      <c r="BB721" s="939">
        <f t="shared" si="456"/>
        <v>103.92842515386683</v>
      </c>
      <c r="BC721" s="939">
        <f t="shared" si="457"/>
        <v>99.653447142382646</v>
      </c>
      <c r="BD721" s="939">
        <f t="shared" si="458"/>
        <v>114.59556295338542</v>
      </c>
      <c r="BE721" s="939">
        <f t="shared" si="459"/>
        <v>104.28984459049988</v>
      </c>
      <c r="BF721" s="939">
        <f t="shared" si="460"/>
        <v>99.645173455967054</v>
      </c>
      <c r="BG721" s="939">
        <f t="shared" si="461"/>
        <v>114.32771307922826</v>
      </c>
      <c r="BH721" s="939">
        <f t="shared" si="462"/>
        <v>104.66121034611406</v>
      </c>
      <c r="BI721" s="939">
        <f t="shared" si="463"/>
        <v>99.385011637384196</v>
      </c>
      <c r="BJ721" s="939">
        <f t="shared" si="464"/>
        <v>101.17356232348216</v>
      </c>
      <c r="BK721" s="939">
        <f t="shared" si="465"/>
        <v>115.03516596281536</v>
      </c>
      <c r="BL721" s="939">
        <f t="shared" si="466"/>
        <v>105.30884750306271</v>
      </c>
      <c r="BM721" s="939">
        <v>104.08731795600792</v>
      </c>
      <c r="BN721" s="939">
        <v>114.71342881121076</v>
      </c>
    </row>
    <row r="722" spans="1:66">
      <c r="A722" s="937"/>
      <c r="B722" s="936" t="s">
        <v>1656</v>
      </c>
      <c r="C722" s="758"/>
      <c r="D722" s="935"/>
      <c r="E722" s="938"/>
      <c r="F722" s="758"/>
      <c r="G722" s="933"/>
      <c r="H722" s="932">
        <f t="shared" ref="H722:AF722" si="476">+H581</f>
        <v>99.999999999999986</v>
      </c>
      <c r="I722" s="932">
        <f t="shared" si="476"/>
        <v>99.999999999999986</v>
      </c>
      <c r="J722" s="932">
        <f t="shared" si="476"/>
        <v>99.999999999999986</v>
      </c>
      <c r="K722" s="932">
        <f t="shared" si="476"/>
        <v>99.999999999999986</v>
      </c>
      <c r="L722" s="932">
        <f t="shared" si="476"/>
        <v>99.999999999999986</v>
      </c>
      <c r="M722" s="932">
        <f t="shared" si="476"/>
        <v>100.06719105823983</v>
      </c>
      <c r="N722" s="932">
        <f t="shared" si="476"/>
        <v>104.13259035492662</v>
      </c>
      <c r="O722" s="932">
        <f t="shared" si="476"/>
        <v>108.086004554547</v>
      </c>
      <c r="P722" s="932">
        <f t="shared" si="476"/>
        <v>108.086004554547</v>
      </c>
      <c r="Q722" s="932">
        <f t="shared" si="476"/>
        <v>108.086004554547</v>
      </c>
      <c r="R722" s="932">
        <f t="shared" si="476"/>
        <v>108.086004554547</v>
      </c>
      <c r="S722" s="932">
        <f t="shared" si="476"/>
        <v>108.13079859337356</v>
      </c>
      <c r="T722" s="932">
        <f t="shared" si="476"/>
        <v>108.13079859337356</v>
      </c>
      <c r="U722" s="932">
        <f t="shared" si="476"/>
        <v>108.1979896516134</v>
      </c>
      <c r="V722" s="932">
        <f t="shared" si="476"/>
        <v>108.1979896516134</v>
      </c>
      <c r="W722" s="932">
        <f t="shared" si="476"/>
        <v>108.30997474867981</v>
      </c>
      <c r="X722" s="932">
        <f t="shared" si="476"/>
        <v>108.30997474867981</v>
      </c>
      <c r="Y722" s="932">
        <f t="shared" si="476"/>
        <v>108.30997474867981</v>
      </c>
      <c r="Z722" s="932">
        <f t="shared" si="476"/>
        <v>104.46854564612585</v>
      </c>
      <c r="AA722" s="932">
        <f t="shared" si="476"/>
        <v>104.69251584025864</v>
      </c>
      <c r="AB722" s="932">
        <f t="shared" si="476"/>
        <v>104.58053074319223</v>
      </c>
      <c r="AC722" s="932">
        <f t="shared" si="476"/>
        <v>108.53394494281262</v>
      </c>
      <c r="AD722" s="932">
        <f t="shared" si="476"/>
        <v>108.53394494281262</v>
      </c>
      <c r="AE722" s="932">
        <f t="shared" si="476"/>
        <v>108.53394494281262</v>
      </c>
      <c r="AF722" s="932">
        <f t="shared" si="476"/>
        <v>108.53394494281262</v>
      </c>
      <c r="AG722" s="932">
        <f t="shared" si="435"/>
        <v>100.37283212062005</v>
      </c>
      <c r="AH722" s="932">
        <f t="shared" si="436"/>
        <v>100</v>
      </c>
      <c r="AI722" s="932">
        <f t="shared" si="437"/>
        <v>100.37283212062005</v>
      </c>
      <c r="AJ722" s="932">
        <f t="shared" si="438"/>
        <v>100.37283212062005</v>
      </c>
      <c r="AK722" s="932">
        <f t="shared" si="439"/>
        <v>100</v>
      </c>
      <c r="AL722" s="932">
        <f t="shared" si="440"/>
        <v>100.41442959253763</v>
      </c>
      <c r="AM722" s="932">
        <f t="shared" si="441"/>
        <v>100.37283212062005</v>
      </c>
      <c r="AN722" s="932">
        <f t="shared" si="442"/>
        <v>100</v>
      </c>
      <c r="AO722" s="932">
        <f t="shared" si="443"/>
        <v>100.41442959253763</v>
      </c>
      <c r="AP722" s="932">
        <f t="shared" si="444"/>
        <v>100.37283212062005</v>
      </c>
      <c r="AQ722" s="932">
        <f t="shared" si="445"/>
        <v>103.78025830575328</v>
      </c>
      <c r="AR722" s="932">
        <f t="shared" si="446"/>
        <v>96.756773621338098</v>
      </c>
      <c r="AS722" s="932">
        <f t="shared" si="447"/>
        <v>96.716691362345216</v>
      </c>
      <c r="AT722" s="932">
        <f t="shared" si="448"/>
        <v>99.893034286006383</v>
      </c>
      <c r="AU722" s="932">
        <f t="shared" si="449"/>
        <v>96.860381019472513</v>
      </c>
      <c r="AV722" s="932">
        <f t="shared" si="450"/>
        <v>96.820255840295232</v>
      </c>
      <c r="AW722" s="932">
        <f t="shared" si="451"/>
        <v>100.2143900757377</v>
      </c>
      <c r="AX722" s="932">
        <f t="shared" si="452"/>
        <v>100.32262261992537</v>
      </c>
      <c r="AY722" s="932">
        <f t="shared" si="453"/>
        <v>96.613126884395228</v>
      </c>
      <c r="AZ722" s="932">
        <f t="shared" si="454"/>
        <v>96.453300712637471</v>
      </c>
      <c r="BA722" s="932">
        <f t="shared" si="455"/>
        <v>108.23724899566993</v>
      </c>
      <c r="BB722" s="932">
        <f t="shared" si="456"/>
        <v>100.16570316472001</v>
      </c>
      <c r="BC722" s="932">
        <f t="shared" si="457"/>
        <v>100</v>
      </c>
      <c r="BD722" s="932">
        <f t="shared" si="458"/>
        <v>108.30997474867982</v>
      </c>
      <c r="BE722" s="932">
        <f t="shared" si="459"/>
        <v>100.16570316472001</v>
      </c>
      <c r="BF722" s="932">
        <f t="shared" si="460"/>
        <v>100</v>
      </c>
      <c r="BG722" s="932">
        <f t="shared" si="461"/>
        <v>108.30997474867982</v>
      </c>
      <c r="BH722" s="932">
        <f t="shared" si="462"/>
        <v>100.16570316472001</v>
      </c>
      <c r="BI722" s="932">
        <f t="shared" si="463"/>
        <v>100.10350016430711</v>
      </c>
      <c r="BJ722" s="932">
        <f t="shared" si="464"/>
        <v>100</v>
      </c>
      <c r="BK722" s="932">
        <f t="shared" si="465"/>
        <v>108.1979896516134</v>
      </c>
      <c r="BL722" s="932">
        <f t="shared" si="466"/>
        <v>100.06213868677001</v>
      </c>
      <c r="BM722" s="932">
        <v>100.06213868677001</v>
      </c>
      <c r="BN722" s="932">
        <v>108.1979896516134</v>
      </c>
    </row>
    <row r="723" spans="1:66">
      <c r="A723" s="937"/>
      <c r="B723" s="936" t="s">
        <v>1655</v>
      </c>
      <c r="C723" s="758"/>
      <c r="D723" s="935"/>
      <c r="E723" s="938"/>
      <c r="F723" s="758"/>
      <c r="G723" s="933"/>
      <c r="H723" s="932">
        <f t="shared" ref="H723:AF723" si="477">+H586</f>
        <v>99.999999999999986</v>
      </c>
      <c r="I723" s="932">
        <f t="shared" si="477"/>
        <v>100.74225445819704</v>
      </c>
      <c r="J723" s="932">
        <f t="shared" si="477"/>
        <v>103.2316617179964</v>
      </c>
      <c r="K723" s="932">
        <f t="shared" si="477"/>
        <v>103.2316617179964</v>
      </c>
      <c r="L723" s="932">
        <f t="shared" si="477"/>
        <v>101.57418956051596</v>
      </c>
      <c r="M723" s="932">
        <f t="shared" si="477"/>
        <v>104.39661922425489</v>
      </c>
      <c r="N723" s="932">
        <f t="shared" si="477"/>
        <v>112.79322599197015</v>
      </c>
      <c r="O723" s="932">
        <f t="shared" si="477"/>
        <v>112.79322599197015</v>
      </c>
      <c r="P723" s="932">
        <f t="shared" si="477"/>
        <v>114.85246581535775</v>
      </c>
      <c r="Q723" s="932">
        <f t="shared" si="477"/>
        <v>112.99682966986511</v>
      </c>
      <c r="R723" s="932">
        <f t="shared" si="477"/>
        <v>112.30372158450164</v>
      </c>
      <c r="S723" s="932">
        <f t="shared" si="477"/>
        <v>113.42059905911944</v>
      </c>
      <c r="T723" s="932">
        <f t="shared" si="477"/>
        <v>113.42059905911944</v>
      </c>
      <c r="U723" s="932">
        <f t="shared" si="477"/>
        <v>123.46238131562234</v>
      </c>
      <c r="V723" s="932">
        <f t="shared" si="477"/>
        <v>120.11466388146701</v>
      </c>
      <c r="W723" s="932">
        <f t="shared" si="477"/>
        <v>117.9995828743449</v>
      </c>
      <c r="X723" s="932">
        <f t="shared" si="477"/>
        <v>116.85556075024067</v>
      </c>
      <c r="Y723" s="932">
        <f t="shared" si="477"/>
        <v>115.7421790629451</v>
      </c>
      <c r="Z723" s="932">
        <f t="shared" si="477"/>
        <v>115.7421790629451</v>
      </c>
      <c r="AA723" s="932">
        <f t="shared" si="477"/>
        <v>115.04907097758165</v>
      </c>
      <c r="AB723" s="932">
        <f t="shared" si="477"/>
        <v>115.48681078626198</v>
      </c>
      <c r="AC723" s="932">
        <f t="shared" si="477"/>
        <v>114.79370270089852</v>
      </c>
      <c r="AD723" s="932">
        <f t="shared" si="477"/>
        <v>114.44714865821679</v>
      </c>
      <c r="AE723" s="932">
        <f t="shared" si="477"/>
        <v>114.44714865821679</v>
      </c>
      <c r="AF723" s="932">
        <f t="shared" si="477"/>
        <v>114.44714865821679</v>
      </c>
      <c r="AG723" s="932">
        <f t="shared" si="435"/>
        <v>100.90508215228371</v>
      </c>
      <c r="AH723" s="932">
        <f t="shared" si="436"/>
        <v>100</v>
      </c>
      <c r="AI723" s="932">
        <f t="shared" si="437"/>
        <v>100.90508215228371</v>
      </c>
      <c r="AJ723" s="932">
        <f t="shared" si="438"/>
        <v>100.90508215228371</v>
      </c>
      <c r="AK723" s="932">
        <f t="shared" si="439"/>
        <v>100</v>
      </c>
      <c r="AL723" s="932">
        <f t="shared" si="440"/>
        <v>101.90859843598537</v>
      </c>
      <c r="AM723" s="932">
        <f t="shared" si="441"/>
        <v>100.90508215228371</v>
      </c>
      <c r="AN723" s="932">
        <f t="shared" si="442"/>
        <v>99.698107096009707</v>
      </c>
      <c r="AO723" s="932">
        <f t="shared" si="443"/>
        <v>101.59019773942615</v>
      </c>
      <c r="AP723" s="932">
        <f t="shared" si="444"/>
        <v>101.21062986192074</v>
      </c>
      <c r="AQ723" s="932">
        <f t="shared" si="445"/>
        <v>99.399837885690474</v>
      </c>
      <c r="AR723" s="932">
        <f t="shared" si="446"/>
        <v>100.55231288801761</v>
      </c>
      <c r="AS723" s="932">
        <f t="shared" si="447"/>
        <v>101.82172528119477</v>
      </c>
      <c r="AT723" s="932">
        <f t="shared" si="448"/>
        <v>100.3804809590906</v>
      </c>
      <c r="AU723" s="932">
        <f t="shared" si="449"/>
        <v>101.99998268138204</v>
      </c>
      <c r="AV723" s="932">
        <f t="shared" si="450"/>
        <v>101.43578144708387</v>
      </c>
      <c r="AW723" s="932">
        <f t="shared" si="451"/>
        <v>99.401162056067292</v>
      </c>
      <c r="AX723" s="932">
        <f t="shared" si="452"/>
        <v>102.61447710626248</v>
      </c>
      <c r="AY723" s="932">
        <f t="shared" si="453"/>
        <v>102.04687686635789</v>
      </c>
      <c r="AZ723" s="932">
        <f t="shared" si="454"/>
        <v>100</v>
      </c>
      <c r="BA723" s="932">
        <f t="shared" si="455"/>
        <v>110.86774641075181</v>
      </c>
      <c r="BB723" s="932">
        <f t="shared" si="456"/>
        <v>102.04687686635789</v>
      </c>
      <c r="BC723" s="932">
        <f t="shared" si="457"/>
        <v>99.047215485384356</v>
      </c>
      <c r="BD723" s="932">
        <f t="shared" si="458"/>
        <v>115.04454158664032</v>
      </c>
      <c r="BE723" s="932">
        <f t="shared" si="459"/>
        <v>103.0285166183356</v>
      </c>
      <c r="BF723" s="932">
        <f t="shared" si="460"/>
        <v>99.030486298140161</v>
      </c>
      <c r="BG723" s="932">
        <f t="shared" si="461"/>
        <v>114.30561216450322</v>
      </c>
      <c r="BH723" s="932">
        <f t="shared" si="462"/>
        <v>104.03717124861834</v>
      </c>
      <c r="BI723" s="932">
        <f t="shared" si="463"/>
        <v>98.239115076566051</v>
      </c>
      <c r="BJ723" s="932">
        <f t="shared" si="464"/>
        <v>97.288471679808978</v>
      </c>
      <c r="BK723" s="932">
        <f t="shared" si="465"/>
        <v>116.35448067240341</v>
      </c>
      <c r="BL723" s="932">
        <f t="shared" si="466"/>
        <v>105.90198330627609</v>
      </c>
      <c r="BM723" s="932">
        <v>108.8535789264071</v>
      </c>
      <c r="BN723" s="932">
        <v>122.55272822671743</v>
      </c>
    </row>
    <row r="724" spans="1:66">
      <c r="A724" s="937"/>
      <c r="B724" s="936" t="s">
        <v>1654</v>
      </c>
      <c r="C724" s="758"/>
      <c r="D724" s="935"/>
      <c r="E724" s="938"/>
      <c r="F724" s="758"/>
      <c r="G724" s="933"/>
      <c r="H724" s="932">
        <f t="shared" ref="H724:AF724" si="478">+H595</f>
        <v>100</v>
      </c>
      <c r="I724" s="932">
        <f t="shared" si="478"/>
        <v>100</v>
      </c>
      <c r="J724" s="932">
        <f t="shared" si="478"/>
        <v>100</v>
      </c>
      <c r="K724" s="932">
        <f t="shared" si="478"/>
        <v>100</v>
      </c>
      <c r="L724" s="932">
        <f t="shared" si="478"/>
        <v>100</v>
      </c>
      <c r="M724" s="932">
        <f t="shared" si="478"/>
        <v>100</v>
      </c>
      <c r="N724" s="932">
        <f t="shared" si="478"/>
        <v>101.73025753902641</v>
      </c>
      <c r="O724" s="932">
        <f t="shared" si="478"/>
        <v>109.97534084130514</v>
      </c>
      <c r="P724" s="932">
        <f t="shared" si="478"/>
        <v>109.97534084130514</v>
      </c>
      <c r="Q724" s="932">
        <f t="shared" si="478"/>
        <v>109.97534084130514</v>
      </c>
      <c r="R724" s="932">
        <f t="shared" si="478"/>
        <v>109.97534084130514</v>
      </c>
      <c r="S724" s="932">
        <f t="shared" si="478"/>
        <v>109.97534084130514</v>
      </c>
      <c r="T724" s="932">
        <f t="shared" si="478"/>
        <v>109.97534084130514</v>
      </c>
      <c r="U724" s="932">
        <f t="shared" si="478"/>
        <v>113.43374417220303</v>
      </c>
      <c r="V724" s="932">
        <f t="shared" si="478"/>
        <v>123.35963624298802</v>
      </c>
      <c r="W724" s="932">
        <f t="shared" si="478"/>
        <v>123.35963624298802</v>
      </c>
      <c r="X724" s="932">
        <f t="shared" si="478"/>
        <v>123.35963624298802</v>
      </c>
      <c r="Y724" s="932">
        <f t="shared" si="478"/>
        <v>123.35963624298802</v>
      </c>
      <c r="Z724" s="932">
        <f t="shared" si="478"/>
        <v>123.35963624298802</v>
      </c>
      <c r="AA724" s="932">
        <f t="shared" si="478"/>
        <v>123.35963624298802</v>
      </c>
      <c r="AB724" s="932">
        <f t="shared" si="478"/>
        <v>122.2755810909006</v>
      </c>
      <c r="AC724" s="932">
        <f t="shared" si="478"/>
        <v>122.2755810909006</v>
      </c>
      <c r="AD724" s="932">
        <f t="shared" si="478"/>
        <v>122.2755810909006</v>
      </c>
      <c r="AE724" s="932">
        <f t="shared" si="478"/>
        <v>122.2755810909006</v>
      </c>
      <c r="AF724" s="932">
        <f t="shared" si="478"/>
        <v>122.2755810909006</v>
      </c>
      <c r="AG724" s="932">
        <f t="shared" si="435"/>
        <v>111.18454387638113</v>
      </c>
      <c r="AH724" s="932">
        <f t="shared" si="436"/>
        <v>100</v>
      </c>
      <c r="AI724" s="932">
        <f t="shared" si="437"/>
        <v>111.18454387638113</v>
      </c>
      <c r="AJ724" s="932">
        <f t="shared" si="438"/>
        <v>111.18454387638113</v>
      </c>
      <c r="AK724" s="932">
        <f t="shared" si="439"/>
        <v>100</v>
      </c>
      <c r="AL724" s="932">
        <f t="shared" si="440"/>
        <v>111.18454387638113</v>
      </c>
      <c r="AM724" s="932">
        <f t="shared" si="441"/>
        <v>111.18454387638113</v>
      </c>
      <c r="AN724" s="932">
        <f t="shared" si="442"/>
        <v>100</v>
      </c>
      <c r="AO724" s="932">
        <f t="shared" si="443"/>
        <v>111.18454387638113</v>
      </c>
      <c r="AP724" s="932">
        <f t="shared" si="444"/>
        <v>111.18454387638113</v>
      </c>
      <c r="AQ724" s="932">
        <f t="shared" si="445"/>
        <v>100</v>
      </c>
      <c r="AR724" s="932">
        <f t="shared" si="446"/>
        <v>111.18454387638113</v>
      </c>
      <c r="AS724" s="932">
        <f t="shared" si="447"/>
        <v>111.18454387638113</v>
      </c>
      <c r="AT724" s="932">
        <f t="shared" si="448"/>
        <v>99.121223776996146</v>
      </c>
      <c r="AU724" s="932">
        <f t="shared" si="449"/>
        <v>112.17026953432814</v>
      </c>
      <c r="AV724" s="932">
        <f t="shared" si="450"/>
        <v>112.17026953432814</v>
      </c>
      <c r="AW724" s="932">
        <f t="shared" si="451"/>
        <v>100</v>
      </c>
      <c r="AX724" s="932">
        <f t="shared" si="452"/>
        <v>121.26149999734741</v>
      </c>
      <c r="AY724" s="932">
        <f t="shared" si="453"/>
        <v>112.17026953432814</v>
      </c>
      <c r="AZ724" s="932">
        <f t="shared" si="454"/>
        <v>100</v>
      </c>
      <c r="BA724" s="932">
        <f t="shared" si="455"/>
        <v>123.35963624298802</v>
      </c>
      <c r="BB724" s="932">
        <f t="shared" si="456"/>
        <v>112.17026953432814</v>
      </c>
      <c r="BC724" s="932">
        <f t="shared" si="457"/>
        <v>100</v>
      </c>
      <c r="BD724" s="932">
        <f t="shared" si="458"/>
        <v>123.35963624298802</v>
      </c>
      <c r="BE724" s="932">
        <f t="shared" si="459"/>
        <v>112.17026953432814</v>
      </c>
      <c r="BF724" s="932">
        <f t="shared" si="460"/>
        <v>100</v>
      </c>
      <c r="BG724" s="932">
        <f t="shared" si="461"/>
        <v>123.35963624298802</v>
      </c>
      <c r="BH724" s="932">
        <f t="shared" si="462"/>
        <v>112.17026953432814</v>
      </c>
      <c r="BI724" s="932">
        <f t="shared" si="463"/>
        <v>100</v>
      </c>
      <c r="BJ724" s="932">
        <f t="shared" si="464"/>
        <v>108.75038741180627</v>
      </c>
      <c r="BK724" s="932">
        <f t="shared" si="465"/>
        <v>123.35963624298802</v>
      </c>
      <c r="BL724" s="932">
        <f t="shared" si="466"/>
        <v>112.17026953432814</v>
      </c>
      <c r="BM724" s="932">
        <v>103.14470799039248</v>
      </c>
      <c r="BN724" s="932">
        <v>113.43374417220305</v>
      </c>
    </row>
    <row r="725" spans="1:66">
      <c r="A725" s="937" t="s">
        <v>1653</v>
      </c>
      <c r="B725" s="937"/>
      <c r="C725" s="758"/>
      <c r="D725" s="935"/>
      <c r="E725" s="940"/>
      <c r="F725" s="758"/>
      <c r="G725" s="933"/>
      <c r="H725" s="939">
        <f t="shared" ref="H725:AF725" si="479">+H604</f>
        <v>100</v>
      </c>
      <c r="I725" s="939">
        <f t="shared" si="479"/>
        <v>100</v>
      </c>
      <c r="J725" s="939">
        <f t="shared" si="479"/>
        <v>100</v>
      </c>
      <c r="K725" s="939">
        <f t="shared" si="479"/>
        <v>100</v>
      </c>
      <c r="L725" s="939">
        <f t="shared" si="479"/>
        <v>100</v>
      </c>
      <c r="M725" s="939">
        <f t="shared" si="479"/>
        <v>100</v>
      </c>
      <c r="N725" s="939">
        <f t="shared" si="479"/>
        <v>100</v>
      </c>
      <c r="O725" s="939">
        <f t="shared" si="479"/>
        <v>100</v>
      </c>
      <c r="P725" s="939">
        <f t="shared" si="479"/>
        <v>100</v>
      </c>
      <c r="Q725" s="939">
        <f t="shared" si="479"/>
        <v>100</v>
      </c>
      <c r="R725" s="939">
        <f t="shared" si="479"/>
        <v>100</v>
      </c>
      <c r="S725" s="939">
        <f t="shared" si="479"/>
        <v>100</v>
      </c>
      <c r="T725" s="939">
        <f t="shared" si="479"/>
        <v>100</v>
      </c>
      <c r="U725" s="939">
        <f t="shared" si="479"/>
        <v>98.686531709411909</v>
      </c>
      <c r="V725" s="939">
        <f t="shared" si="479"/>
        <v>96.986559945273001</v>
      </c>
      <c r="W725" s="939">
        <f t="shared" si="479"/>
        <v>96.986559945273001</v>
      </c>
      <c r="X725" s="939">
        <f t="shared" si="479"/>
        <v>97.836545827342462</v>
      </c>
      <c r="Y725" s="939">
        <f t="shared" si="479"/>
        <v>96.986559945273001</v>
      </c>
      <c r="Z725" s="939">
        <f t="shared" si="479"/>
        <v>95.286588181134107</v>
      </c>
      <c r="AA725" s="939">
        <f t="shared" si="479"/>
        <v>93.586616416995184</v>
      </c>
      <c r="AB725" s="939">
        <f t="shared" si="479"/>
        <v>93.586616416995184</v>
      </c>
      <c r="AC725" s="939">
        <f t="shared" si="479"/>
        <v>93.586616416995184</v>
      </c>
      <c r="AD725" s="939">
        <f t="shared" si="479"/>
        <v>93.586616416995184</v>
      </c>
      <c r="AE725" s="939">
        <f t="shared" si="479"/>
        <v>93.586616416995184</v>
      </c>
      <c r="AF725" s="939">
        <f t="shared" si="479"/>
        <v>93.586616416995184</v>
      </c>
      <c r="AG725" s="939">
        <f t="shared" si="435"/>
        <v>93.586616416995184</v>
      </c>
      <c r="AH725" s="939">
        <f t="shared" si="436"/>
        <v>100</v>
      </c>
      <c r="AI725" s="939">
        <f t="shared" si="437"/>
        <v>93.586616416995184</v>
      </c>
      <c r="AJ725" s="939">
        <f t="shared" si="438"/>
        <v>93.586616416995184</v>
      </c>
      <c r="AK725" s="939">
        <f t="shared" si="439"/>
        <v>100</v>
      </c>
      <c r="AL725" s="939">
        <f t="shared" si="440"/>
        <v>93.586616416995184</v>
      </c>
      <c r="AM725" s="939">
        <f t="shared" si="441"/>
        <v>93.586616416995184</v>
      </c>
      <c r="AN725" s="939">
        <f t="shared" si="442"/>
        <v>100</v>
      </c>
      <c r="AO725" s="939">
        <f t="shared" si="443"/>
        <v>93.586616416995184</v>
      </c>
      <c r="AP725" s="939">
        <f t="shared" si="444"/>
        <v>93.586616416995184</v>
      </c>
      <c r="AQ725" s="939">
        <f t="shared" si="445"/>
        <v>100</v>
      </c>
      <c r="AR725" s="939">
        <f t="shared" si="446"/>
        <v>93.586616416995184</v>
      </c>
      <c r="AS725" s="939">
        <f t="shared" si="447"/>
        <v>93.586616416995184</v>
      </c>
      <c r="AT725" s="939">
        <f t="shared" si="448"/>
        <v>100</v>
      </c>
      <c r="AU725" s="939">
        <f t="shared" si="449"/>
        <v>93.586616416995184</v>
      </c>
      <c r="AV725" s="939">
        <f t="shared" si="450"/>
        <v>93.586616416995184</v>
      </c>
      <c r="AW725" s="939">
        <f t="shared" si="451"/>
        <v>98.215938049007093</v>
      </c>
      <c r="AX725" s="939">
        <f t="shared" si="452"/>
        <v>95.286588181134107</v>
      </c>
      <c r="AY725" s="939">
        <f t="shared" si="453"/>
        <v>95.286588181134107</v>
      </c>
      <c r="AZ725" s="939">
        <f t="shared" si="454"/>
        <v>98.247208927610032</v>
      </c>
      <c r="BA725" s="939">
        <f t="shared" si="455"/>
        <v>96.986559945273001</v>
      </c>
      <c r="BB725" s="939">
        <f t="shared" si="456"/>
        <v>96.986559945273001</v>
      </c>
      <c r="BC725" s="939">
        <f t="shared" si="457"/>
        <v>99.131218426732403</v>
      </c>
      <c r="BD725" s="939">
        <f t="shared" si="458"/>
        <v>97.836545827342462</v>
      </c>
      <c r="BE725" s="939">
        <f t="shared" si="459"/>
        <v>97.836545827342462</v>
      </c>
      <c r="BF725" s="939">
        <f t="shared" si="460"/>
        <v>100.87639553619501</v>
      </c>
      <c r="BG725" s="939">
        <f t="shared" si="461"/>
        <v>96.986559945273001</v>
      </c>
      <c r="BH725" s="939">
        <f t="shared" si="462"/>
        <v>96.986559945273001</v>
      </c>
      <c r="BI725" s="939">
        <f t="shared" si="463"/>
        <v>100</v>
      </c>
      <c r="BJ725" s="939">
        <f t="shared" si="464"/>
        <v>98.277402463443977</v>
      </c>
      <c r="BK725" s="939">
        <f t="shared" si="465"/>
        <v>96.986559945273001</v>
      </c>
      <c r="BL725" s="939">
        <f t="shared" si="466"/>
        <v>96.986559945273001</v>
      </c>
      <c r="BM725" s="939">
        <v>98.686531709411909</v>
      </c>
      <c r="BN725" s="939">
        <v>98.686531709411909</v>
      </c>
    </row>
    <row r="726" spans="1:66">
      <c r="A726" s="937"/>
      <c r="B726" s="936" t="s">
        <v>1652</v>
      </c>
      <c r="C726" s="758"/>
      <c r="D726" s="935"/>
      <c r="E726" s="938"/>
      <c r="F726" s="758"/>
      <c r="G726" s="933"/>
      <c r="H726" s="932">
        <f t="shared" ref="H726:AF726" si="480">+H605</f>
        <v>100</v>
      </c>
      <c r="I726" s="932">
        <f t="shared" si="480"/>
        <v>100</v>
      </c>
      <c r="J726" s="932">
        <f t="shared" si="480"/>
        <v>100</v>
      </c>
      <c r="K726" s="932">
        <f t="shared" si="480"/>
        <v>100</v>
      </c>
      <c r="L726" s="932">
        <f t="shared" si="480"/>
        <v>100</v>
      </c>
      <c r="M726" s="932">
        <f t="shared" si="480"/>
        <v>100</v>
      </c>
      <c r="N726" s="932">
        <f t="shared" si="480"/>
        <v>100</v>
      </c>
      <c r="O726" s="932">
        <f t="shared" si="480"/>
        <v>100</v>
      </c>
      <c r="P726" s="932">
        <f t="shared" si="480"/>
        <v>100</v>
      </c>
      <c r="Q726" s="932">
        <f t="shared" si="480"/>
        <v>100</v>
      </c>
      <c r="R726" s="932">
        <f t="shared" si="480"/>
        <v>100</v>
      </c>
      <c r="S726" s="932">
        <f t="shared" si="480"/>
        <v>100</v>
      </c>
      <c r="T726" s="932">
        <f t="shared" si="480"/>
        <v>100</v>
      </c>
      <c r="U726" s="932">
        <f t="shared" si="480"/>
        <v>98.686531709411909</v>
      </c>
      <c r="V726" s="932">
        <f t="shared" si="480"/>
        <v>96.986559945273001</v>
      </c>
      <c r="W726" s="932">
        <f t="shared" si="480"/>
        <v>96.986559945273001</v>
      </c>
      <c r="X726" s="932">
        <f t="shared" si="480"/>
        <v>97.836545827342462</v>
      </c>
      <c r="Y726" s="932">
        <f t="shared" si="480"/>
        <v>96.986559945273001</v>
      </c>
      <c r="Z726" s="932">
        <f t="shared" si="480"/>
        <v>95.286588181134107</v>
      </c>
      <c r="AA726" s="932">
        <f t="shared" si="480"/>
        <v>93.586616416995184</v>
      </c>
      <c r="AB726" s="932">
        <f t="shared" si="480"/>
        <v>93.586616416995184</v>
      </c>
      <c r="AC726" s="932">
        <f t="shared" si="480"/>
        <v>93.586616416995184</v>
      </c>
      <c r="AD726" s="932">
        <f t="shared" si="480"/>
        <v>93.586616416995184</v>
      </c>
      <c r="AE726" s="932">
        <f t="shared" si="480"/>
        <v>93.586616416995184</v>
      </c>
      <c r="AF726" s="932">
        <f t="shared" si="480"/>
        <v>93.586616416995184</v>
      </c>
      <c r="AG726" s="932">
        <f t="shared" si="435"/>
        <v>93.586616416995184</v>
      </c>
      <c r="AH726" s="932">
        <f t="shared" si="436"/>
        <v>100</v>
      </c>
      <c r="AI726" s="932">
        <f t="shared" si="437"/>
        <v>93.586616416995184</v>
      </c>
      <c r="AJ726" s="932">
        <f t="shared" si="438"/>
        <v>93.586616416995184</v>
      </c>
      <c r="AK726" s="932">
        <f t="shared" si="439"/>
        <v>100</v>
      </c>
      <c r="AL726" s="932">
        <f t="shared" si="440"/>
        <v>93.586616416995184</v>
      </c>
      <c r="AM726" s="932">
        <f t="shared" si="441"/>
        <v>93.586616416995184</v>
      </c>
      <c r="AN726" s="932">
        <f t="shared" si="442"/>
        <v>100</v>
      </c>
      <c r="AO726" s="932">
        <f t="shared" si="443"/>
        <v>93.586616416995184</v>
      </c>
      <c r="AP726" s="932">
        <f t="shared" si="444"/>
        <v>93.586616416995184</v>
      </c>
      <c r="AQ726" s="932">
        <f t="shared" si="445"/>
        <v>100</v>
      </c>
      <c r="AR726" s="932">
        <f t="shared" si="446"/>
        <v>93.586616416995184</v>
      </c>
      <c r="AS726" s="932">
        <f t="shared" si="447"/>
        <v>93.586616416995184</v>
      </c>
      <c r="AT726" s="932">
        <f t="shared" si="448"/>
        <v>100</v>
      </c>
      <c r="AU726" s="932">
        <f t="shared" si="449"/>
        <v>93.586616416995184</v>
      </c>
      <c r="AV726" s="932">
        <f t="shared" si="450"/>
        <v>93.586616416995184</v>
      </c>
      <c r="AW726" s="932">
        <f t="shared" si="451"/>
        <v>98.215938049007093</v>
      </c>
      <c r="AX726" s="932">
        <f t="shared" si="452"/>
        <v>95.286588181134107</v>
      </c>
      <c r="AY726" s="932">
        <f t="shared" si="453"/>
        <v>95.286588181134107</v>
      </c>
      <c r="AZ726" s="932">
        <f t="shared" si="454"/>
        <v>98.247208927610032</v>
      </c>
      <c r="BA726" s="932">
        <f t="shared" si="455"/>
        <v>96.986559945273001</v>
      </c>
      <c r="BB726" s="932">
        <f t="shared" si="456"/>
        <v>96.986559945273001</v>
      </c>
      <c r="BC726" s="932">
        <f t="shared" si="457"/>
        <v>99.131218426732403</v>
      </c>
      <c r="BD726" s="932">
        <f t="shared" si="458"/>
        <v>97.836545827342462</v>
      </c>
      <c r="BE726" s="932">
        <f t="shared" si="459"/>
        <v>97.836545827342462</v>
      </c>
      <c r="BF726" s="932">
        <f t="shared" si="460"/>
        <v>100.87639553619501</v>
      </c>
      <c r="BG726" s="932">
        <f t="shared" si="461"/>
        <v>96.986559945273001</v>
      </c>
      <c r="BH726" s="932">
        <f t="shared" si="462"/>
        <v>96.986559945273001</v>
      </c>
      <c r="BI726" s="932">
        <f t="shared" si="463"/>
        <v>100</v>
      </c>
      <c r="BJ726" s="932">
        <f t="shared" si="464"/>
        <v>98.277402463443977</v>
      </c>
      <c r="BK726" s="932">
        <f t="shared" si="465"/>
        <v>96.986559945273001</v>
      </c>
      <c r="BL726" s="932">
        <f t="shared" si="466"/>
        <v>96.986559945273001</v>
      </c>
      <c r="BM726" s="932">
        <v>98.686531709411909</v>
      </c>
      <c r="BN726" s="932">
        <v>98.686531709411909</v>
      </c>
    </row>
    <row r="727" spans="1:66">
      <c r="A727" s="937" t="s">
        <v>1651</v>
      </c>
      <c r="B727" s="937"/>
      <c r="C727" s="758"/>
      <c r="D727" s="758"/>
      <c r="E727" s="945"/>
      <c r="F727" s="758"/>
      <c r="G727" s="933"/>
      <c r="H727" s="939">
        <f t="shared" ref="H727:AF727" si="481">+H612</f>
        <v>100</v>
      </c>
      <c r="I727" s="939">
        <f t="shared" si="481"/>
        <v>101.59339957736294</v>
      </c>
      <c r="J727" s="939">
        <f t="shared" si="481"/>
        <v>99.463315845769898</v>
      </c>
      <c r="K727" s="939">
        <f t="shared" si="481"/>
        <v>99.463315845769898</v>
      </c>
      <c r="L727" s="939">
        <f t="shared" si="481"/>
        <v>99.090892824306664</v>
      </c>
      <c r="M727" s="939">
        <f t="shared" si="481"/>
        <v>99.00266475249326</v>
      </c>
      <c r="N727" s="939">
        <f t="shared" si="481"/>
        <v>100.20944294301272</v>
      </c>
      <c r="O727" s="939">
        <f t="shared" si="481"/>
        <v>100.21243761181536</v>
      </c>
      <c r="P727" s="939">
        <f t="shared" si="481"/>
        <v>100.21243761181536</v>
      </c>
      <c r="Q727" s="939">
        <f t="shared" si="481"/>
        <v>101.26089403786951</v>
      </c>
      <c r="R727" s="939">
        <f t="shared" si="481"/>
        <v>101.2167800019628</v>
      </c>
      <c r="S727" s="939">
        <f t="shared" si="481"/>
        <v>102.60108165510225</v>
      </c>
      <c r="T727" s="939">
        <f t="shared" si="481"/>
        <v>102.51285358328887</v>
      </c>
      <c r="U727" s="939">
        <f t="shared" si="481"/>
        <v>102.51285358328887</v>
      </c>
      <c r="V727" s="939">
        <f t="shared" si="481"/>
        <v>102.88527660475209</v>
      </c>
      <c r="W727" s="939">
        <f t="shared" si="481"/>
        <v>103.34930804717982</v>
      </c>
      <c r="X727" s="939">
        <f t="shared" si="481"/>
        <v>103.74964859832262</v>
      </c>
      <c r="Y727" s="939">
        <f t="shared" si="481"/>
        <v>103.74964859832262</v>
      </c>
      <c r="Z727" s="939">
        <f t="shared" si="481"/>
        <v>103.15474681096782</v>
      </c>
      <c r="AA727" s="939">
        <f t="shared" si="481"/>
        <v>106.76283339920057</v>
      </c>
      <c r="AB727" s="939">
        <f t="shared" si="481"/>
        <v>106.76283339920057</v>
      </c>
      <c r="AC727" s="939">
        <f t="shared" si="481"/>
        <v>106.41245427261597</v>
      </c>
      <c r="AD727" s="939">
        <f t="shared" si="481"/>
        <v>105.72030344604626</v>
      </c>
      <c r="AE727" s="939">
        <f t="shared" si="481"/>
        <v>105.84098126509821</v>
      </c>
      <c r="AF727" s="939">
        <f t="shared" si="481"/>
        <v>106.26342820552725</v>
      </c>
      <c r="AG727" s="939">
        <f t="shared" si="435"/>
        <v>103.65863839619989</v>
      </c>
      <c r="AH727" s="939">
        <f t="shared" si="436"/>
        <v>100.39913362043661</v>
      </c>
      <c r="AI727" s="939">
        <f t="shared" si="437"/>
        <v>103.15776360027765</v>
      </c>
      <c r="AJ727" s="939">
        <f t="shared" si="438"/>
        <v>103.24654671631525</v>
      </c>
      <c r="AK727" s="939">
        <f t="shared" si="439"/>
        <v>100.11414819586999</v>
      </c>
      <c r="AL727" s="939">
        <f t="shared" si="440"/>
        <v>104.44938422660366</v>
      </c>
      <c r="AM727" s="939">
        <f t="shared" si="441"/>
        <v>103.12882702084907</v>
      </c>
      <c r="AN727" s="939">
        <f t="shared" si="442"/>
        <v>99.349558440972984</v>
      </c>
      <c r="AO727" s="939">
        <f t="shared" si="443"/>
        <v>105.08741334322002</v>
      </c>
      <c r="AP727" s="939">
        <f t="shared" si="444"/>
        <v>103.80401145126525</v>
      </c>
      <c r="AQ727" s="939">
        <f t="shared" si="445"/>
        <v>99.671815447914838</v>
      </c>
      <c r="AR727" s="939">
        <f t="shared" si="446"/>
        <v>106.53650978210803</v>
      </c>
      <c r="AS727" s="939">
        <f t="shared" si="447"/>
        <v>104.14580188469607</v>
      </c>
      <c r="AT727" s="939">
        <f t="shared" si="448"/>
        <v>100</v>
      </c>
      <c r="AU727" s="939">
        <f t="shared" si="449"/>
        <v>106.53650978210803</v>
      </c>
      <c r="AV727" s="939">
        <f t="shared" si="450"/>
        <v>104.14580188469607</v>
      </c>
      <c r="AW727" s="939">
        <f t="shared" si="451"/>
        <v>103.497741693695</v>
      </c>
      <c r="AX727" s="939">
        <f t="shared" si="452"/>
        <v>102.93914802982194</v>
      </c>
      <c r="AY727" s="939">
        <f t="shared" si="453"/>
        <v>100.62615877447743</v>
      </c>
      <c r="AZ727" s="939">
        <f t="shared" si="454"/>
        <v>99.426598744774537</v>
      </c>
      <c r="BA727" s="939">
        <f t="shared" si="455"/>
        <v>104.7948041173405</v>
      </c>
      <c r="BB727" s="939">
        <f t="shared" si="456"/>
        <v>101.20647798963951</v>
      </c>
      <c r="BC727" s="939">
        <f t="shared" si="457"/>
        <v>100</v>
      </c>
      <c r="BD727" s="939">
        <f t="shared" si="458"/>
        <v>104.70149742446682</v>
      </c>
      <c r="BE727" s="939">
        <f t="shared" si="459"/>
        <v>101.20647798963951</v>
      </c>
      <c r="BF727" s="939">
        <f t="shared" si="460"/>
        <v>100.3873664552839</v>
      </c>
      <c r="BG727" s="939">
        <f t="shared" si="461"/>
        <v>103.9069602379189</v>
      </c>
      <c r="BH727" s="939">
        <f t="shared" si="462"/>
        <v>100.81595081460819</v>
      </c>
      <c r="BI727" s="939">
        <f t="shared" si="463"/>
        <v>100.45101831645977</v>
      </c>
      <c r="BJ727" s="939">
        <f t="shared" si="464"/>
        <v>100.36329397577508</v>
      </c>
      <c r="BK727" s="939">
        <f t="shared" si="465"/>
        <v>103.44042497465938</v>
      </c>
      <c r="BL727" s="939">
        <f t="shared" si="466"/>
        <v>100.36329397577508</v>
      </c>
      <c r="BM727" s="939">
        <v>100</v>
      </c>
      <c r="BN727" s="939">
        <v>100.90503321057365</v>
      </c>
    </row>
    <row r="728" spans="1:66" ht="14.25" customHeight="1">
      <c r="A728" s="937"/>
      <c r="B728" s="944" t="s">
        <v>1650</v>
      </c>
      <c r="C728" s="943"/>
      <c r="D728" s="943"/>
      <c r="E728" s="943"/>
      <c r="F728" s="943"/>
      <c r="G728" s="933"/>
      <c r="H728" s="942">
        <f t="shared" ref="H728:AF728" si="482">+H613</f>
        <v>100</v>
      </c>
      <c r="I728" s="942">
        <f t="shared" si="482"/>
        <v>101.91010418746657</v>
      </c>
      <c r="J728" s="942">
        <f t="shared" si="482"/>
        <v>103.43681606922088</v>
      </c>
      <c r="K728" s="942">
        <f t="shared" si="482"/>
        <v>103.43681606922088</v>
      </c>
      <c r="L728" s="942">
        <f t="shared" si="482"/>
        <v>101.52671188175431</v>
      </c>
      <c r="M728" s="942">
        <f t="shared" si="482"/>
        <v>101.07420277326599</v>
      </c>
      <c r="N728" s="942">
        <f t="shared" si="482"/>
        <v>101.07420277326599</v>
      </c>
      <c r="O728" s="942">
        <f t="shared" si="482"/>
        <v>101.08956199944254</v>
      </c>
      <c r="P728" s="942">
        <f t="shared" si="482"/>
        <v>101.08956199944254</v>
      </c>
      <c r="Q728" s="942">
        <f t="shared" si="482"/>
        <v>101.08956199944254</v>
      </c>
      <c r="R728" s="942">
        <f t="shared" si="482"/>
        <v>100.86330744519837</v>
      </c>
      <c r="S728" s="942">
        <f t="shared" si="482"/>
        <v>100.86330744519837</v>
      </c>
      <c r="T728" s="942">
        <f t="shared" si="482"/>
        <v>100.41079833671007</v>
      </c>
      <c r="U728" s="942">
        <f t="shared" si="482"/>
        <v>100.41079833671007</v>
      </c>
      <c r="V728" s="942">
        <f t="shared" si="482"/>
        <v>102.32090252417665</v>
      </c>
      <c r="W728" s="942">
        <f t="shared" si="482"/>
        <v>104.70085314542156</v>
      </c>
      <c r="X728" s="942">
        <f t="shared" si="482"/>
        <v>99.654257975650225</v>
      </c>
      <c r="Y728" s="942">
        <f t="shared" si="482"/>
        <v>99.654257975650225</v>
      </c>
      <c r="Z728" s="942">
        <f t="shared" si="482"/>
        <v>96.603092151654906</v>
      </c>
      <c r="AA728" s="942">
        <f t="shared" si="482"/>
        <v>96.483941472122197</v>
      </c>
      <c r="AB728" s="942">
        <f t="shared" si="482"/>
        <v>96.483941472122197</v>
      </c>
      <c r="AC728" s="942">
        <f t="shared" si="482"/>
        <v>96.483941472122197</v>
      </c>
      <c r="AD728" s="942">
        <f t="shared" si="482"/>
        <v>96.483941472122197</v>
      </c>
      <c r="AE728" s="942">
        <f t="shared" si="482"/>
        <v>96.483941472122197</v>
      </c>
      <c r="AF728" s="942">
        <f t="shared" si="482"/>
        <v>96.84066062877848</v>
      </c>
      <c r="AG728" s="942">
        <f t="shared" si="435"/>
        <v>96.444468356919373</v>
      </c>
      <c r="AH728" s="942">
        <f t="shared" si="436"/>
        <v>100.36971868190039</v>
      </c>
      <c r="AI728" s="942">
        <f t="shared" si="437"/>
        <v>95.658117819053672</v>
      </c>
      <c r="AJ728" s="942">
        <f t="shared" si="438"/>
        <v>96.089208601429661</v>
      </c>
      <c r="AK728" s="942">
        <f t="shared" si="439"/>
        <v>100</v>
      </c>
      <c r="AL728" s="942">
        <f t="shared" si="440"/>
        <v>95.658117819053672</v>
      </c>
      <c r="AM728" s="942">
        <f t="shared" si="441"/>
        <v>96.089208601429661</v>
      </c>
      <c r="AN728" s="942">
        <f t="shared" si="442"/>
        <v>100</v>
      </c>
      <c r="AO728" s="942">
        <f t="shared" si="443"/>
        <v>95.444019702701127</v>
      </c>
      <c r="AP728" s="942">
        <f t="shared" si="444"/>
        <v>96.089208601429661</v>
      </c>
      <c r="AQ728" s="942">
        <f t="shared" si="445"/>
        <v>100</v>
      </c>
      <c r="AR728" s="942">
        <f t="shared" si="446"/>
        <v>95.444019702701127</v>
      </c>
      <c r="AS728" s="942">
        <f t="shared" si="447"/>
        <v>96.089208601429661</v>
      </c>
      <c r="AT728" s="942">
        <f t="shared" si="448"/>
        <v>100</v>
      </c>
      <c r="AU728" s="942">
        <f t="shared" si="449"/>
        <v>95.444019702701127</v>
      </c>
      <c r="AV728" s="942">
        <f t="shared" si="450"/>
        <v>96.089208601429661</v>
      </c>
      <c r="AW728" s="942">
        <f t="shared" si="451"/>
        <v>99.87665955935897</v>
      </c>
      <c r="AX728" s="942">
        <f t="shared" si="452"/>
        <v>95.576407729239392</v>
      </c>
      <c r="AY728" s="942">
        <f t="shared" si="453"/>
        <v>96.207871814456951</v>
      </c>
      <c r="AZ728" s="942">
        <f t="shared" si="454"/>
        <v>96.938248414090992</v>
      </c>
      <c r="BA728" s="942">
        <f t="shared" si="455"/>
        <v>98.595146181067534</v>
      </c>
      <c r="BB728" s="942">
        <f t="shared" si="456"/>
        <v>99.246554779374506</v>
      </c>
      <c r="BC728" s="942">
        <f t="shared" si="457"/>
        <v>100</v>
      </c>
      <c r="BD728" s="942">
        <f t="shared" si="458"/>
        <v>98.15570319239248</v>
      </c>
      <c r="BE728" s="942">
        <f t="shared" si="459"/>
        <v>99.246554779374506</v>
      </c>
      <c r="BF728" s="942">
        <f t="shared" si="460"/>
        <v>95.179986582571587</v>
      </c>
      <c r="BG728" s="942">
        <f t="shared" si="461"/>
        <v>101.22203788190345</v>
      </c>
      <c r="BH728" s="942">
        <f t="shared" si="462"/>
        <v>104.2725034356619</v>
      </c>
      <c r="BI728" s="942">
        <f t="shared" si="463"/>
        <v>102.32596719002021</v>
      </c>
      <c r="BJ728" s="942">
        <f t="shared" si="464"/>
        <v>101.90228961337542</v>
      </c>
      <c r="BK728" s="942">
        <f t="shared" si="465"/>
        <v>98.921164061839008</v>
      </c>
      <c r="BL728" s="942">
        <f t="shared" si="466"/>
        <v>101.90228961337542</v>
      </c>
      <c r="BM728" s="942">
        <v>100</v>
      </c>
      <c r="BN728" s="942">
        <v>98.528795684480428</v>
      </c>
    </row>
    <row r="729" spans="1:66">
      <c r="A729" s="937"/>
      <c r="B729" s="936" t="s">
        <v>1649</v>
      </c>
      <c r="C729" s="758"/>
      <c r="D729" s="935"/>
      <c r="E729" s="941"/>
      <c r="F729" s="758"/>
      <c r="G729" s="933"/>
      <c r="H729" s="932">
        <f t="shared" ref="H729:AF729" si="483">+H621</f>
        <v>100</v>
      </c>
      <c r="I729" s="932">
        <f t="shared" si="483"/>
        <v>100</v>
      </c>
      <c r="J729" s="932">
        <f t="shared" si="483"/>
        <v>93.39801213625671</v>
      </c>
      <c r="K729" s="932">
        <f t="shared" si="483"/>
        <v>93.39801213625671</v>
      </c>
      <c r="L729" s="932">
        <f t="shared" si="483"/>
        <v>93.39801213625671</v>
      </c>
      <c r="M729" s="932">
        <f t="shared" si="483"/>
        <v>93.39801213625671</v>
      </c>
      <c r="N729" s="932">
        <f t="shared" si="483"/>
        <v>100</v>
      </c>
      <c r="O729" s="932">
        <f t="shared" si="483"/>
        <v>100</v>
      </c>
      <c r="P729" s="932">
        <f t="shared" si="483"/>
        <v>100</v>
      </c>
      <c r="Q729" s="932">
        <f t="shared" si="483"/>
        <v>100</v>
      </c>
      <c r="R729" s="932">
        <f t="shared" si="483"/>
        <v>100</v>
      </c>
      <c r="S729" s="932">
        <f t="shared" si="483"/>
        <v>107.57317524097159</v>
      </c>
      <c r="T729" s="932">
        <f t="shared" si="483"/>
        <v>107.57317524097159</v>
      </c>
      <c r="U729" s="932">
        <f t="shared" si="483"/>
        <v>107.57317524097159</v>
      </c>
      <c r="V729" s="932">
        <f t="shared" si="483"/>
        <v>107.57317524097159</v>
      </c>
      <c r="W729" s="932">
        <f t="shared" si="483"/>
        <v>107.57317524097159</v>
      </c>
      <c r="X729" s="932">
        <f t="shared" si="483"/>
        <v>115.1463504819432</v>
      </c>
      <c r="Y729" s="932">
        <f t="shared" si="483"/>
        <v>115.1463504819432</v>
      </c>
      <c r="Z729" s="932">
        <f t="shared" si="483"/>
        <v>115.1463504819432</v>
      </c>
      <c r="AA729" s="932">
        <f t="shared" si="483"/>
        <v>115.1463504819432</v>
      </c>
      <c r="AB729" s="932">
        <f t="shared" si="483"/>
        <v>115.1463504819432</v>
      </c>
      <c r="AC729" s="932">
        <f t="shared" si="483"/>
        <v>113.22951211049006</v>
      </c>
      <c r="AD729" s="932">
        <f t="shared" si="483"/>
        <v>109.44292449000426</v>
      </c>
      <c r="AE729" s="932">
        <f t="shared" si="483"/>
        <v>110.10312327637858</v>
      </c>
      <c r="AF729" s="932">
        <f t="shared" si="483"/>
        <v>108.2098294661357</v>
      </c>
      <c r="AG729" s="932">
        <f t="shared" si="435"/>
        <v>100.59183362742428</v>
      </c>
      <c r="AH729" s="932">
        <f t="shared" si="436"/>
        <v>98.280435873294564</v>
      </c>
      <c r="AI729" s="932">
        <f t="shared" si="437"/>
        <v>102.35183913623422</v>
      </c>
      <c r="AJ729" s="932">
        <f t="shared" si="438"/>
        <v>102.35183913623422</v>
      </c>
      <c r="AK729" s="932">
        <f t="shared" si="439"/>
        <v>100.60323569518157</v>
      </c>
      <c r="AL729" s="932">
        <f t="shared" si="440"/>
        <v>109.44292449000426</v>
      </c>
      <c r="AM729" s="932">
        <f t="shared" si="441"/>
        <v>101.73811848989705</v>
      </c>
      <c r="AN729" s="932">
        <f t="shared" si="442"/>
        <v>96.655829783324663</v>
      </c>
      <c r="AO729" s="932">
        <f t="shared" si="443"/>
        <v>113.22951211049006</v>
      </c>
      <c r="AP729" s="932">
        <f t="shared" si="444"/>
        <v>105.25812950751697</v>
      </c>
      <c r="AQ729" s="932">
        <f t="shared" si="445"/>
        <v>98.335302540262688</v>
      </c>
      <c r="AR729" s="932">
        <f t="shared" si="446"/>
        <v>115.14635048194319</v>
      </c>
      <c r="AS729" s="932">
        <f t="shared" si="447"/>
        <v>107.04002203523987</v>
      </c>
      <c r="AT729" s="932">
        <f t="shared" si="448"/>
        <v>100</v>
      </c>
      <c r="AU729" s="932">
        <f t="shared" si="449"/>
        <v>115.14635048194319</v>
      </c>
      <c r="AV729" s="932">
        <f t="shared" si="450"/>
        <v>107.04002203523987</v>
      </c>
      <c r="AW729" s="932">
        <f t="shared" si="451"/>
        <v>100</v>
      </c>
      <c r="AX729" s="932">
        <f t="shared" si="452"/>
        <v>115.14635048194319</v>
      </c>
      <c r="AY729" s="932">
        <f t="shared" si="453"/>
        <v>107.04002203523987</v>
      </c>
      <c r="AZ729" s="932">
        <f t="shared" si="454"/>
        <v>100</v>
      </c>
      <c r="BA729" s="932">
        <f t="shared" si="455"/>
        <v>123.28565442480534</v>
      </c>
      <c r="BB729" s="932">
        <f t="shared" si="456"/>
        <v>107.04002203523987</v>
      </c>
      <c r="BC729" s="932">
        <f t="shared" si="457"/>
        <v>100</v>
      </c>
      <c r="BD729" s="932">
        <f t="shared" si="458"/>
        <v>123.28565442480534</v>
      </c>
      <c r="BE729" s="932">
        <f t="shared" si="459"/>
        <v>107.04002203523987</v>
      </c>
      <c r="BF729" s="932">
        <f t="shared" si="460"/>
        <v>107.04002203523987</v>
      </c>
      <c r="BG729" s="932">
        <f t="shared" si="461"/>
        <v>115.17715717978557</v>
      </c>
      <c r="BH729" s="932">
        <f t="shared" si="462"/>
        <v>100</v>
      </c>
      <c r="BI729" s="932">
        <f t="shared" si="463"/>
        <v>100</v>
      </c>
      <c r="BJ729" s="932">
        <f t="shared" si="464"/>
        <v>100</v>
      </c>
      <c r="BK729" s="932">
        <f t="shared" si="465"/>
        <v>115.17715717978557</v>
      </c>
      <c r="BL729" s="932">
        <f t="shared" si="466"/>
        <v>100</v>
      </c>
      <c r="BM729" s="932">
        <v>100</v>
      </c>
      <c r="BN729" s="932">
        <v>107.57317524097158</v>
      </c>
    </row>
    <row r="730" spans="1:66">
      <c r="A730" s="937"/>
      <c r="B730" s="936" t="s">
        <v>1648</v>
      </c>
      <c r="C730" s="758"/>
      <c r="D730" s="935"/>
      <c r="E730" s="941"/>
      <c r="F730" s="758"/>
      <c r="G730" s="933"/>
      <c r="H730" s="932">
        <f t="shared" ref="H730:AF730" si="484">+H628</f>
        <v>99.999999999999986</v>
      </c>
      <c r="I730" s="932">
        <f t="shared" si="484"/>
        <v>101.96224460576475</v>
      </c>
      <c r="J730" s="932">
        <f t="shared" si="484"/>
        <v>99.999999999999986</v>
      </c>
      <c r="K730" s="932">
        <f t="shared" si="484"/>
        <v>99.999999999999986</v>
      </c>
      <c r="L730" s="932">
        <f t="shared" si="484"/>
        <v>99.999999999999986</v>
      </c>
      <c r="M730" s="932">
        <f t="shared" si="484"/>
        <v>99.999999999999986</v>
      </c>
      <c r="N730" s="932">
        <f t="shared" si="484"/>
        <v>99.999999999999986</v>
      </c>
      <c r="O730" s="932">
        <f t="shared" si="484"/>
        <v>99.999999999999986</v>
      </c>
      <c r="P730" s="932">
        <f t="shared" si="484"/>
        <v>99.999999999999986</v>
      </c>
      <c r="Q730" s="932">
        <f t="shared" si="484"/>
        <v>101.68498564240501</v>
      </c>
      <c r="R730" s="932">
        <f t="shared" si="484"/>
        <v>101.68498564240501</v>
      </c>
      <c r="S730" s="932">
        <f t="shared" si="484"/>
        <v>101.68498564240501</v>
      </c>
      <c r="T730" s="932">
        <f t="shared" si="484"/>
        <v>101.68498564240501</v>
      </c>
      <c r="U730" s="932">
        <f t="shared" si="484"/>
        <v>101.68498564240501</v>
      </c>
      <c r="V730" s="932">
        <f t="shared" si="484"/>
        <v>101.68498564240501</v>
      </c>
      <c r="W730" s="932">
        <f t="shared" si="484"/>
        <v>101.68498564240501</v>
      </c>
      <c r="X730" s="932">
        <f t="shared" si="484"/>
        <v>101.68498564240501</v>
      </c>
      <c r="Y730" s="932">
        <f t="shared" si="484"/>
        <v>101.68498564240501</v>
      </c>
      <c r="Z730" s="932">
        <f t="shared" si="484"/>
        <v>101.68498564240501</v>
      </c>
      <c r="AA730" s="932">
        <f t="shared" si="484"/>
        <v>107.52091604019955</v>
      </c>
      <c r="AB730" s="932">
        <f t="shared" si="484"/>
        <v>107.52091604019955</v>
      </c>
      <c r="AC730" s="932">
        <f t="shared" si="484"/>
        <v>107.52091604019955</v>
      </c>
      <c r="AD730" s="932">
        <f t="shared" si="484"/>
        <v>107.52091604019955</v>
      </c>
      <c r="AE730" s="932">
        <f t="shared" si="484"/>
        <v>107.52091604019955</v>
      </c>
      <c r="AF730" s="932">
        <f t="shared" si="484"/>
        <v>108.64423980180291</v>
      </c>
      <c r="AG730" s="932">
        <f t="shared" si="435"/>
        <v>106.84393483996888</v>
      </c>
      <c r="AH730" s="932">
        <f t="shared" si="436"/>
        <v>101.04474906183218</v>
      </c>
      <c r="AI730" s="932">
        <f t="shared" si="437"/>
        <v>105.73922527591017</v>
      </c>
      <c r="AJ730" s="932">
        <f t="shared" si="438"/>
        <v>105.73922527591017</v>
      </c>
      <c r="AK730" s="932">
        <f t="shared" si="439"/>
        <v>100</v>
      </c>
      <c r="AL730" s="932">
        <f t="shared" si="440"/>
        <v>105.73922527591017</v>
      </c>
      <c r="AM730" s="932">
        <f t="shared" si="441"/>
        <v>105.73922527591017</v>
      </c>
      <c r="AN730" s="932">
        <f t="shared" si="442"/>
        <v>100</v>
      </c>
      <c r="AO730" s="932">
        <f t="shared" si="443"/>
        <v>105.73922527591017</v>
      </c>
      <c r="AP730" s="932">
        <f t="shared" si="444"/>
        <v>105.73922527591017</v>
      </c>
      <c r="AQ730" s="932">
        <f t="shared" si="445"/>
        <v>100</v>
      </c>
      <c r="AR730" s="932">
        <f t="shared" si="446"/>
        <v>107.52091604019958</v>
      </c>
      <c r="AS730" s="932">
        <f t="shared" si="447"/>
        <v>105.73922527591017</v>
      </c>
      <c r="AT730" s="932">
        <f t="shared" si="448"/>
        <v>100</v>
      </c>
      <c r="AU730" s="932">
        <f t="shared" si="449"/>
        <v>107.52091604019958</v>
      </c>
      <c r="AV730" s="932">
        <f t="shared" si="450"/>
        <v>105.73922527591017</v>
      </c>
      <c r="AW730" s="932">
        <f t="shared" si="451"/>
        <v>105.73922527591017</v>
      </c>
      <c r="AX730" s="932">
        <f t="shared" si="452"/>
        <v>101.68498564240502</v>
      </c>
      <c r="AY730" s="932">
        <f t="shared" si="453"/>
        <v>100</v>
      </c>
      <c r="AZ730" s="932">
        <f t="shared" si="454"/>
        <v>100</v>
      </c>
      <c r="BA730" s="932">
        <f t="shared" si="455"/>
        <v>101.68498564240502</v>
      </c>
      <c r="BB730" s="932">
        <f t="shared" si="456"/>
        <v>100</v>
      </c>
      <c r="BC730" s="932">
        <f t="shared" si="457"/>
        <v>100</v>
      </c>
      <c r="BD730" s="932">
        <f t="shared" si="458"/>
        <v>101.68498564240502</v>
      </c>
      <c r="BE730" s="932">
        <f t="shared" si="459"/>
        <v>100</v>
      </c>
      <c r="BF730" s="932">
        <f t="shared" si="460"/>
        <v>100</v>
      </c>
      <c r="BG730" s="932">
        <f t="shared" si="461"/>
        <v>101.68498564240502</v>
      </c>
      <c r="BH730" s="932">
        <f t="shared" si="462"/>
        <v>100</v>
      </c>
      <c r="BI730" s="932">
        <f t="shared" si="463"/>
        <v>100</v>
      </c>
      <c r="BJ730" s="932">
        <f t="shared" si="464"/>
        <v>100</v>
      </c>
      <c r="BK730" s="932">
        <f t="shared" si="465"/>
        <v>101.68498564240502</v>
      </c>
      <c r="BL730" s="932">
        <f t="shared" si="466"/>
        <v>100</v>
      </c>
      <c r="BM730" s="932">
        <v>100</v>
      </c>
      <c r="BN730" s="932">
        <v>99.728076834291201</v>
      </c>
    </row>
    <row r="731" spans="1:66">
      <c r="A731" s="937" t="s">
        <v>1647</v>
      </c>
      <c r="B731" s="937"/>
      <c r="C731" s="758"/>
      <c r="D731" s="935"/>
      <c r="E731" s="941"/>
      <c r="F731" s="758"/>
      <c r="G731" s="933"/>
      <c r="H731" s="939">
        <f t="shared" ref="H731:AF731" si="485">+H638</f>
        <v>100</v>
      </c>
      <c r="I731" s="939">
        <f t="shared" si="485"/>
        <v>100</v>
      </c>
      <c r="J731" s="939">
        <f t="shared" si="485"/>
        <v>100</v>
      </c>
      <c r="K731" s="939">
        <f t="shared" si="485"/>
        <v>100</v>
      </c>
      <c r="L731" s="939">
        <f t="shared" si="485"/>
        <v>100</v>
      </c>
      <c r="M731" s="939">
        <f t="shared" si="485"/>
        <v>100</v>
      </c>
      <c r="N731" s="939">
        <f t="shared" si="485"/>
        <v>100</v>
      </c>
      <c r="O731" s="939">
        <f t="shared" si="485"/>
        <v>100</v>
      </c>
      <c r="P731" s="939">
        <f t="shared" si="485"/>
        <v>104.16666666666667</v>
      </c>
      <c r="Q731" s="939">
        <f t="shared" si="485"/>
        <v>104.16666666666667</v>
      </c>
      <c r="R731" s="939">
        <f t="shared" si="485"/>
        <v>104.16666666666667</v>
      </c>
      <c r="S731" s="939">
        <f t="shared" si="485"/>
        <v>104.16666666666667</v>
      </c>
      <c r="T731" s="939">
        <f t="shared" si="485"/>
        <v>104.16666666666667</v>
      </c>
      <c r="U731" s="939">
        <f t="shared" si="485"/>
        <v>104.16666666666667</v>
      </c>
      <c r="V731" s="939">
        <f t="shared" si="485"/>
        <v>104.16666666666667</v>
      </c>
      <c r="W731" s="939">
        <f t="shared" si="485"/>
        <v>104.16666666666667</v>
      </c>
      <c r="X731" s="939">
        <f t="shared" si="485"/>
        <v>104.16666666666667</v>
      </c>
      <c r="Y731" s="939">
        <f t="shared" si="485"/>
        <v>104.16666666666667</v>
      </c>
      <c r="Z731" s="939">
        <f t="shared" si="485"/>
        <v>104.16666666666667</v>
      </c>
      <c r="AA731" s="939">
        <f t="shared" si="485"/>
        <v>104.16666666666667</v>
      </c>
      <c r="AB731" s="939">
        <f t="shared" si="485"/>
        <v>111.11111111111111</v>
      </c>
      <c r="AC731" s="939">
        <f t="shared" si="485"/>
        <v>111.11111111111111</v>
      </c>
      <c r="AD731" s="939">
        <f t="shared" si="485"/>
        <v>111.11111111111111</v>
      </c>
      <c r="AE731" s="939">
        <f t="shared" si="485"/>
        <v>111.11111111111111</v>
      </c>
      <c r="AF731" s="939">
        <f t="shared" si="485"/>
        <v>111.11111111111111</v>
      </c>
      <c r="AG731" s="939">
        <f t="shared" si="435"/>
        <v>106.66666666666667</v>
      </c>
      <c r="AH731" s="939">
        <f t="shared" si="436"/>
        <v>100</v>
      </c>
      <c r="AI731" s="939">
        <f t="shared" si="437"/>
        <v>106.66666666666667</v>
      </c>
      <c r="AJ731" s="939">
        <f t="shared" si="438"/>
        <v>106.66666666666667</v>
      </c>
      <c r="AK731" s="939">
        <f t="shared" si="439"/>
        <v>100</v>
      </c>
      <c r="AL731" s="939">
        <f t="shared" si="440"/>
        <v>106.66666666666667</v>
      </c>
      <c r="AM731" s="939">
        <f t="shared" si="441"/>
        <v>106.66666666666667</v>
      </c>
      <c r="AN731" s="939">
        <f t="shared" si="442"/>
        <v>100</v>
      </c>
      <c r="AO731" s="939">
        <f t="shared" si="443"/>
        <v>106.66666666666667</v>
      </c>
      <c r="AP731" s="939">
        <f t="shared" si="444"/>
        <v>106.66666666666667</v>
      </c>
      <c r="AQ731" s="939">
        <f t="shared" si="445"/>
        <v>100</v>
      </c>
      <c r="AR731" s="939">
        <f t="shared" si="446"/>
        <v>106.66666666666667</v>
      </c>
      <c r="AS731" s="939">
        <f t="shared" si="447"/>
        <v>106.66666666666667</v>
      </c>
      <c r="AT731" s="939">
        <f t="shared" si="448"/>
        <v>106.66666666666667</v>
      </c>
      <c r="AU731" s="939">
        <f t="shared" si="449"/>
        <v>104.16666666666667</v>
      </c>
      <c r="AV731" s="939">
        <f t="shared" si="450"/>
        <v>100</v>
      </c>
      <c r="AW731" s="939">
        <f t="shared" si="451"/>
        <v>100</v>
      </c>
      <c r="AX731" s="939">
        <f t="shared" si="452"/>
        <v>104.16666666666667</v>
      </c>
      <c r="AY731" s="939">
        <f t="shared" si="453"/>
        <v>100</v>
      </c>
      <c r="AZ731" s="939">
        <f t="shared" si="454"/>
        <v>100</v>
      </c>
      <c r="BA731" s="939">
        <f t="shared" si="455"/>
        <v>104.16666666666667</v>
      </c>
      <c r="BB731" s="939">
        <f t="shared" si="456"/>
        <v>100</v>
      </c>
      <c r="BC731" s="939">
        <f t="shared" si="457"/>
        <v>100</v>
      </c>
      <c r="BD731" s="939">
        <f t="shared" si="458"/>
        <v>104.16666666666667</v>
      </c>
      <c r="BE731" s="939">
        <f t="shared" si="459"/>
        <v>100</v>
      </c>
      <c r="BF731" s="939">
        <f t="shared" si="460"/>
        <v>100</v>
      </c>
      <c r="BG731" s="939">
        <f t="shared" si="461"/>
        <v>104.16666666666667</v>
      </c>
      <c r="BH731" s="939">
        <f t="shared" si="462"/>
        <v>100</v>
      </c>
      <c r="BI731" s="939">
        <f t="shared" si="463"/>
        <v>100</v>
      </c>
      <c r="BJ731" s="939">
        <f t="shared" si="464"/>
        <v>100</v>
      </c>
      <c r="BK731" s="939">
        <f t="shared" si="465"/>
        <v>104.16666666666667</v>
      </c>
      <c r="BL731" s="939">
        <f t="shared" si="466"/>
        <v>100</v>
      </c>
      <c r="BM731" s="939">
        <v>100</v>
      </c>
      <c r="BN731" s="939">
        <v>104.16666666666667</v>
      </c>
    </row>
    <row r="732" spans="1:66">
      <c r="A732" s="937"/>
      <c r="B732" s="936" t="s">
        <v>1646</v>
      </c>
      <c r="C732" s="758"/>
      <c r="D732" s="935"/>
      <c r="E732" s="941"/>
      <c r="F732" s="758"/>
      <c r="G732" s="933"/>
      <c r="H732" s="932">
        <f t="shared" ref="H732:AF732" si="486">+H639</f>
        <v>100</v>
      </c>
      <c r="I732" s="932">
        <f t="shared" si="486"/>
        <v>100</v>
      </c>
      <c r="J732" s="932">
        <f t="shared" si="486"/>
        <v>100</v>
      </c>
      <c r="K732" s="932">
        <f t="shared" si="486"/>
        <v>100</v>
      </c>
      <c r="L732" s="932">
        <f t="shared" si="486"/>
        <v>100</v>
      </c>
      <c r="M732" s="932">
        <f t="shared" si="486"/>
        <v>100</v>
      </c>
      <c r="N732" s="932">
        <f t="shared" si="486"/>
        <v>100</v>
      </c>
      <c r="O732" s="932">
        <f t="shared" si="486"/>
        <v>100</v>
      </c>
      <c r="P732" s="932">
        <f t="shared" si="486"/>
        <v>104.16666666666667</v>
      </c>
      <c r="Q732" s="932">
        <f t="shared" si="486"/>
        <v>104.16666666666667</v>
      </c>
      <c r="R732" s="932">
        <f t="shared" si="486"/>
        <v>104.16666666666667</v>
      </c>
      <c r="S732" s="932">
        <f t="shared" si="486"/>
        <v>104.16666666666667</v>
      </c>
      <c r="T732" s="932">
        <f t="shared" si="486"/>
        <v>104.16666666666667</v>
      </c>
      <c r="U732" s="932">
        <f t="shared" si="486"/>
        <v>104.16666666666667</v>
      </c>
      <c r="V732" s="932">
        <f t="shared" si="486"/>
        <v>104.16666666666667</v>
      </c>
      <c r="W732" s="932">
        <f t="shared" si="486"/>
        <v>104.16666666666667</v>
      </c>
      <c r="X732" s="932">
        <f t="shared" si="486"/>
        <v>104.16666666666667</v>
      </c>
      <c r="Y732" s="932">
        <f t="shared" si="486"/>
        <v>104.16666666666667</v>
      </c>
      <c r="Z732" s="932">
        <f t="shared" si="486"/>
        <v>104.16666666666667</v>
      </c>
      <c r="AA732" s="932">
        <f t="shared" si="486"/>
        <v>104.16666666666667</v>
      </c>
      <c r="AB732" s="932">
        <f t="shared" si="486"/>
        <v>111.11111111111111</v>
      </c>
      <c r="AC732" s="932">
        <f t="shared" si="486"/>
        <v>111.11111111111111</v>
      </c>
      <c r="AD732" s="932">
        <f t="shared" si="486"/>
        <v>111.11111111111111</v>
      </c>
      <c r="AE732" s="932">
        <f t="shared" si="486"/>
        <v>111.11111111111111</v>
      </c>
      <c r="AF732" s="932">
        <f t="shared" si="486"/>
        <v>111.11111111111111</v>
      </c>
      <c r="AG732" s="932">
        <f t="shared" si="435"/>
        <v>106.66666666666667</v>
      </c>
      <c r="AH732" s="932">
        <f t="shared" si="436"/>
        <v>100</v>
      </c>
      <c r="AI732" s="932">
        <f t="shared" si="437"/>
        <v>106.66666666666667</v>
      </c>
      <c r="AJ732" s="932">
        <f t="shared" si="438"/>
        <v>106.66666666666667</v>
      </c>
      <c r="AK732" s="932">
        <f t="shared" si="439"/>
        <v>100</v>
      </c>
      <c r="AL732" s="932">
        <f t="shared" si="440"/>
        <v>106.66666666666667</v>
      </c>
      <c r="AM732" s="932">
        <f t="shared" si="441"/>
        <v>106.66666666666667</v>
      </c>
      <c r="AN732" s="932">
        <f t="shared" si="442"/>
        <v>100</v>
      </c>
      <c r="AO732" s="932">
        <f t="shared" si="443"/>
        <v>106.66666666666667</v>
      </c>
      <c r="AP732" s="932">
        <f t="shared" si="444"/>
        <v>106.66666666666667</v>
      </c>
      <c r="AQ732" s="932">
        <f t="shared" si="445"/>
        <v>100</v>
      </c>
      <c r="AR732" s="932">
        <f t="shared" si="446"/>
        <v>106.66666666666667</v>
      </c>
      <c r="AS732" s="932">
        <f t="shared" si="447"/>
        <v>106.66666666666667</v>
      </c>
      <c r="AT732" s="932">
        <f t="shared" si="448"/>
        <v>106.66666666666667</v>
      </c>
      <c r="AU732" s="932">
        <f t="shared" si="449"/>
        <v>104.16666666666667</v>
      </c>
      <c r="AV732" s="932">
        <f t="shared" si="450"/>
        <v>100</v>
      </c>
      <c r="AW732" s="932">
        <f t="shared" si="451"/>
        <v>100</v>
      </c>
      <c r="AX732" s="932">
        <f t="shared" si="452"/>
        <v>104.16666666666667</v>
      </c>
      <c r="AY732" s="932">
        <f t="shared" si="453"/>
        <v>100</v>
      </c>
      <c r="AZ732" s="932">
        <f t="shared" si="454"/>
        <v>100</v>
      </c>
      <c r="BA732" s="932">
        <f t="shared" si="455"/>
        <v>104.16666666666667</v>
      </c>
      <c r="BB732" s="932">
        <f t="shared" si="456"/>
        <v>100</v>
      </c>
      <c r="BC732" s="932">
        <f t="shared" si="457"/>
        <v>100</v>
      </c>
      <c r="BD732" s="932">
        <f t="shared" si="458"/>
        <v>104.16666666666667</v>
      </c>
      <c r="BE732" s="932">
        <f t="shared" si="459"/>
        <v>100</v>
      </c>
      <c r="BF732" s="932">
        <f t="shared" si="460"/>
        <v>100</v>
      </c>
      <c r="BG732" s="932">
        <f t="shared" si="461"/>
        <v>104.16666666666667</v>
      </c>
      <c r="BH732" s="932">
        <f t="shared" si="462"/>
        <v>100</v>
      </c>
      <c r="BI732" s="932">
        <f t="shared" si="463"/>
        <v>100</v>
      </c>
      <c r="BJ732" s="932">
        <f t="shared" si="464"/>
        <v>100</v>
      </c>
      <c r="BK732" s="932">
        <f t="shared" si="465"/>
        <v>104.16666666666667</v>
      </c>
      <c r="BL732" s="932">
        <f t="shared" si="466"/>
        <v>100</v>
      </c>
      <c r="BM732" s="932">
        <v>100</v>
      </c>
      <c r="BN732" s="932">
        <v>104.16666666666667</v>
      </c>
    </row>
    <row r="733" spans="1:66">
      <c r="A733" s="937" t="s">
        <v>1645</v>
      </c>
      <c r="B733" s="937"/>
      <c r="C733" s="758"/>
      <c r="D733" s="935"/>
      <c r="E733" s="941"/>
      <c r="F733" s="758"/>
      <c r="G733" s="933"/>
      <c r="H733" s="939">
        <f t="shared" ref="H733:AF733" si="487">+H642</f>
        <v>99.999999999999986</v>
      </c>
      <c r="I733" s="939">
        <f t="shared" si="487"/>
        <v>99.999999999999986</v>
      </c>
      <c r="J733" s="939">
        <f t="shared" si="487"/>
        <v>99.999999999999986</v>
      </c>
      <c r="K733" s="939">
        <f t="shared" si="487"/>
        <v>99.999999999999986</v>
      </c>
      <c r="L733" s="939">
        <f t="shared" si="487"/>
        <v>99.999999999999986</v>
      </c>
      <c r="M733" s="939">
        <f t="shared" si="487"/>
        <v>99.999999999999986</v>
      </c>
      <c r="N733" s="939">
        <f t="shared" si="487"/>
        <v>99.999999999999986</v>
      </c>
      <c r="O733" s="939">
        <f t="shared" si="487"/>
        <v>99.999999999999986</v>
      </c>
      <c r="P733" s="939">
        <f t="shared" si="487"/>
        <v>99.999999999999986</v>
      </c>
      <c r="Q733" s="939">
        <f t="shared" si="487"/>
        <v>100.81582953666472</v>
      </c>
      <c r="R733" s="939">
        <f t="shared" si="487"/>
        <v>100.81582953666472</v>
      </c>
      <c r="S733" s="939">
        <f t="shared" si="487"/>
        <v>119.81048898956747</v>
      </c>
      <c r="T733" s="939">
        <f t="shared" si="487"/>
        <v>119.81048898956747</v>
      </c>
      <c r="U733" s="939">
        <f t="shared" si="487"/>
        <v>121.75633968760215</v>
      </c>
      <c r="V733" s="939">
        <f t="shared" si="487"/>
        <v>121.75633968760215</v>
      </c>
      <c r="W733" s="939">
        <f t="shared" si="487"/>
        <v>121.75633968760215</v>
      </c>
      <c r="X733" s="939">
        <f t="shared" si="487"/>
        <v>122.24583740960097</v>
      </c>
      <c r="Y733" s="939">
        <f t="shared" si="487"/>
        <v>122.24583740960097</v>
      </c>
      <c r="Z733" s="939">
        <f t="shared" si="487"/>
        <v>123.40729827921734</v>
      </c>
      <c r="AA733" s="939">
        <f t="shared" si="487"/>
        <v>123.40729827921734</v>
      </c>
      <c r="AB733" s="939">
        <f t="shared" si="487"/>
        <v>123.40729827921734</v>
      </c>
      <c r="AC733" s="939">
        <f t="shared" si="487"/>
        <v>123.57046418655028</v>
      </c>
      <c r="AD733" s="939">
        <f t="shared" si="487"/>
        <v>123.57046418655028</v>
      </c>
      <c r="AE733" s="939">
        <f t="shared" si="487"/>
        <v>126.07585135140177</v>
      </c>
      <c r="AF733" s="939">
        <f t="shared" si="487"/>
        <v>127.2709397116689</v>
      </c>
      <c r="AG733" s="939">
        <f t="shared" si="435"/>
        <v>106.22687611495438</v>
      </c>
      <c r="AH733" s="939">
        <f t="shared" si="436"/>
        <v>100.94791218735153</v>
      </c>
      <c r="AI733" s="939">
        <f t="shared" si="437"/>
        <v>105.22939386582408</v>
      </c>
      <c r="AJ733" s="939">
        <f t="shared" si="438"/>
        <v>105.22939386582408</v>
      </c>
      <c r="AK733" s="939">
        <f t="shared" si="439"/>
        <v>102.02749676578797</v>
      </c>
      <c r="AL733" s="939">
        <f t="shared" si="440"/>
        <v>122.57049786175706</v>
      </c>
      <c r="AM733" s="939">
        <f t="shared" si="441"/>
        <v>103.13826880158233</v>
      </c>
      <c r="AN733" s="939">
        <f t="shared" si="442"/>
        <v>100</v>
      </c>
      <c r="AO733" s="939">
        <f t="shared" si="443"/>
        <v>122.57049786175706</v>
      </c>
      <c r="AP733" s="939">
        <f t="shared" si="444"/>
        <v>103.13826880158233</v>
      </c>
      <c r="AQ733" s="939">
        <f t="shared" si="445"/>
        <v>100.1322173887672</v>
      </c>
      <c r="AR733" s="939">
        <f t="shared" si="446"/>
        <v>123.40729827921737</v>
      </c>
      <c r="AS733" s="939">
        <f t="shared" si="447"/>
        <v>103.00208213820332</v>
      </c>
      <c r="AT733" s="939">
        <f t="shared" si="448"/>
        <v>100</v>
      </c>
      <c r="AU733" s="939">
        <f t="shared" si="449"/>
        <v>123.40729827921737</v>
      </c>
      <c r="AV733" s="939">
        <f t="shared" si="450"/>
        <v>103.00208213820332</v>
      </c>
      <c r="AW733" s="939">
        <f t="shared" si="451"/>
        <v>100</v>
      </c>
      <c r="AX733" s="939">
        <f t="shared" si="452"/>
        <v>123.40729827921737</v>
      </c>
      <c r="AY733" s="939">
        <f t="shared" si="453"/>
        <v>103.00208213820332</v>
      </c>
      <c r="AZ733" s="939">
        <f t="shared" si="454"/>
        <v>100.95010259181647</v>
      </c>
      <c r="BA733" s="939">
        <f t="shared" si="455"/>
        <v>122.24583740960098</v>
      </c>
      <c r="BB733" s="939">
        <f t="shared" si="456"/>
        <v>102.03266712336476</v>
      </c>
      <c r="BC733" s="939">
        <f t="shared" si="457"/>
        <v>100</v>
      </c>
      <c r="BD733" s="939">
        <f t="shared" si="458"/>
        <v>122.24583740960098</v>
      </c>
      <c r="BE733" s="939">
        <f t="shared" si="459"/>
        <v>102.03266712336476</v>
      </c>
      <c r="BF733" s="939">
        <f t="shared" si="460"/>
        <v>100.40203058276451</v>
      </c>
      <c r="BG733" s="939">
        <f t="shared" si="461"/>
        <v>121.75633968760218</v>
      </c>
      <c r="BH733" s="939">
        <f t="shared" si="462"/>
        <v>101.62410713322781</v>
      </c>
      <c r="BI733" s="939">
        <f t="shared" si="463"/>
        <v>100</v>
      </c>
      <c r="BJ733" s="939">
        <f t="shared" si="464"/>
        <v>100</v>
      </c>
      <c r="BK733" s="939">
        <f t="shared" si="465"/>
        <v>121.75633968760218</v>
      </c>
      <c r="BL733" s="939">
        <f t="shared" si="466"/>
        <v>101.62410713322781</v>
      </c>
      <c r="BM733" s="939">
        <v>101.62410713322781</v>
      </c>
      <c r="BN733" s="939">
        <v>121.75633968760218</v>
      </c>
    </row>
    <row r="734" spans="1:66">
      <c r="A734" s="937"/>
      <c r="B734" s="936" t="s">
        <v>1644</v>
      </c>
      <c r="C734" s="758"/>
      <c r="D734" s="935"/>
      <c r="E734" s="941"/>
      <c r="F734" s="758"/>
      <c r="G734" s="933"/>
      <c r="H734" s="932">
        <f t="shared" ref="H734:AF734" si="488">+H643</f>
        <v>100</v>
      </c>
      <c r="I734" s="932">
        <f t="shared" si="488"/>
        <v>100</v>
      </c>
      <c r="J734" s="932">
        <f t="shared" si="488"/>
        <v>100</v>
      </c>
      <c r="K734" s="932">
        <f t="shared" si="488"/>
        <v>100</v>
      </c>
      <c r="L734" s="932">
        <f t="shared" si="488"/>
        <v>100</v>
      </c>
      <c r="M734" s="932">
        <f t="shared" si="488"/>
        <v>100</v>
      </c>
      <c r="N734" s="932">
        <f t="shared" si="488"/>
        <v>100</v>
      </c>
      <c r="O734" s="932">
        <f t="shared" si="488"/>
        <v>100</v>
      </c>
      <c r="P734" s="932">
        <f t="shared" si="488"/>
        <v>100</v>
      </c>
      <c r="Q734" s="932">
        <f t="shared" si="488"/>
        <v>101.89657133676349</v>
      </c>
      <c r="R734" s="932">
        <f t="shared" si="488"/>
        <v>101.89657133676349</v>
      </c>
      <c r="S734" s="932">
        <f t="shared" si="488"/>
        <v>101.89657133676349</v>
      </c>
      <c r="T734" s="932">
        <f t="shared" si="488"/>
        <v>101.89657133676349</v>
      </c>
      <c r="U734" s="932">
        <f t="shared" si="488"/>
        <v>106.42012006068084</v>
      </c>
      <c r="V734" s="932">
        <f t="shared" si="488"/>
        <v>106.42012006068084</v>
      </c>
      <c r="W734" s="932">
        <f t="shared" si="488"/>
        <v>106.42012006068084</v>
      </c>
      <c r="X734" s="932">
        <f t="shared" si="488"/>
        <v>107.55806286273892</v>
      </c>
      <c r="Y734" s="932">
        <f t="shared" si="488"/>
        <v>107.55806286273892</v>
      </c>
      <c r="Z734" s="932">
        <f t="shared" si="488"/>
        <v>110.25812861800969</v>
      </c>
      <c r="AA734" s="932">
        <f t="shared" si="488"/>
        <v>110.25812861800969</v>
      </c>
      <c r="AB734" s="932">
        <f t="shared" si="488"/>
        <v>110.25812861800969</v>
      </c>
      <c r="AC734" s="932">
        <f t="shared" si="488"/>
        <v>110.63744288536239</v>
      </c>
      <c r="AD734" s="932">
        <f t="shared" si="488"/>
        <v>110.63744288536239</v>
      </c>
      <c r="AE734" s="932">
        <f t="shared" si="488"/>
        <v>116.46175454705853</v>
      </c>
      <c r="AF734" s="932">
        <f t="shared" si="488"/>
        <v>119.23999464148872</v>
      </c>
      <c r="AG734" s="932">
        <f t="shared" si="435"/>
        <v>117.02061519558495</v>
      </c>
      <c r="AH734" s="932">
        <f t="shared" si="436"/>
        <v>102.38553858752626</v>
      </c>
      <c r="AI734" s="932">
        <f t="shared" si="437"/>
        <v>114.29408567846487</v>
      </c>
      <c r="AJ734" s="932">
        <f t="shared" si="438"/>
        <v>114.29408567846487</v>
      </c>
      <c r="AK734" s="932">
        <f t="shared" si="439"/>
        <v>105.26432237568166</v>
      </c>
      <c r="AL734" s="932">
        <f t="shared" si="440"/>
        <v>108.57818024093345</v>
      </c>
      <c r="AM734" s="932">
        <f t="shared" si="441"/>
        <v>108.57818024093345</v>
      </c>
      <c r="AN734" s="932">
        <f t="shared" si="442"/>
        <v>100</v>
      </c>
      <c r="AO734" s="932">
        <f t="shared" si="443"/>
        <v>108.57818024093345</v>
      </c>
      <c r="AP734" s="932">
        <f t="shared" si="444"/>
        <v>108.57818024093345</v>
      </c>
      <c r="AQ734" s="932">
        <f t="shared" si="445"/>
        <v>100.34402385756684</v>
      </c>
      <c r="AR734" s="932">
        <f t="shared" si="446"/>
        <v>110.25812861800969</v>
      </c>
      <c r="AS734" s="932">
        <f t="shared" si="447"/>
        <v>108.20592604005452</v>
      </c>
      <c r="AT734" s="932">
        <f t="shared" si="448"/>
        <v>100</v>
      </c>
      <c r="AU734" s="932">
        <f t="shared" si="449"/>
        <v>110.25812861800969</v>
      </c>
      <c r="AV734" s="932">
        <f t="shared" si="450"/>
        <v>108.20592604005452</v>
      </c>
      <c r="AW734" s="932">
        <f t="shared" si="451"/>
        <v>100</v>
      </c>
      <c r="AX734" s="932">
        <f t="shared" si="452"/>
        <v>110.25812861800969</v>
      </c>
      <c r="AY734" s="932">
        <f t="shared" si="453"/>
        <v>108.20592604005452</v>
      </c>
      <c r="AZ734" s="932">
        <f t="shared" si="454"/>
        <v>102.51033319437566</v>
      </c>
      <c r="BA734" s="932">
        <f t="shared" si="455"/>
        <v>107.55806286273892</v>
      </c>
      <c r="BB734" s="932">
        <f t="shared" si="456"/>
        <v>105.55611582578619</v>
      </c>
      <c r="BC734" s="932">
        <f t="shared" si="457"/>
        <v>100</v>
      </c>
      <c r="BD734" s="932">
        <f t="shared" si="458"/>
        <v>107.55806286273892</v>
      </c>
      <c r="BE734" s="932">
        <f t="shared" si="459"/>
        <v>105.55611582578619</v>
      </c>
      <c r="BF734" s="932">
        <f t="shared" si="460"/>
        <v>101.06929291322845</v>
      </c>
      <c r="BG734" s="932">
        <f t="shared" si="461"/>
        <v>106.42012006068084</v>
      </c>
      <c r="BH734" s="932">
        <f t="shared" si="462"/>
        <v>104.43935322314941</v>
      </c>
      <c r="BI734" s="932">
        <f t="shared" si="463"/>
        <v>100</v>
      </c>
      <c r="BJ734" s="932">
        <f t="shared" si="464"/>
        <v>100</v>
      </c>
      <c r="BK734" s="932">
        <f t="shared" si="465"/>
        <v>106.42012006068084</v>
      </c>
      <c r="BL734" s="932">
        <f t="shared" si="466"/>
        <v>104.43935322314941</v>
      </c>
      <c r="BM734" s="932">
        <v>104.43935322314941</v>
      </c>
      <c r="BN734" s="932">
        <v>106.42012006068084</v>
      </c>
    </row>
    <row r="735" spans="1:66">
      <c r="A735" s="937"/>
      <c r="B735" s="936" t="s">
        <v>1643</v>
      </c>
      <c r="C735" s="758"/>
      <c r="D735" s="935"/>
      <c r="E735" s="938"/>
      <c r="F735" s="758"/>
      <c r="G735" s="933"/>
      <c r="H735" s="932">
        <f t="shared" ref="H735:AF735" si="489">+H648</f>
        <v>100</v>
      </c>
      <c r="I735" s="932">
        <f t="shared" si="489"/>
        <v>100</v>
      </c>
      <c r="J735" s="932">
        <f t="shared" si="489"/>
        <v>100</v>
      </c>
      <c r="K735" s="932">
        <f t="shared" si="489"/>
        <v>100</v>
      </c>
      <c r="L735" s="932">
        <f t="shared" si="489"/>
        <v>100</v>
      </c>
      <c r="M735" s="932">
        <f t="shared" si="489"/>
        <v>100</v>
      </c>
      <c r="N735" s="932">
        <f t="shared" si="489"/>
        <v>100</v>
      </c>
      <c r="O735" s="932">
        <f t="shared" si="489"/>
        <v>100</v>
      </c>
      <c r="P735" s="932">
        <f t="shared" si="489"/>
        <v>100</v>
      </c>
      <c r="Q735" s="932">
        <f t="shared" si="489"/>
        <v>100</v>
      </c>
      <c r="R735" s="932">
        <f t="shared" si="489"/>
        <v>100</v>
      </c>
      <c r="S735" s="932">
        <f t="shared" si="489"/>
        <v>133.33333333333331</v>
      </c>
      <c r="T735" s="932">
        <f t="shared" si="489"/>
        <v>133.33333333333331</v>
      </c>
      <c r="U735" s="932">
        <f t="shared" si="489"/>
        <v>133.33333333333331</v>
      </c>
      <c r="V735" s="932">
        <f t="shared" si="489"/>
        <v>133.33333333333331</v>
      </c>
      <c r="W735" s="932">
        <f t="shared" si="489"/>
        <v>133.33333333333331</v>
      </c>
      <c r="X735" s="932">
        <f t="shared" si="489"/>
        <v>133.33333333333331</v>
      </c>
      <c r="Y735" s="932">
        <f t="shared" si="489"/>
        <v>133.33333333333331</v>
      </c>
      <c r="Z735" s="932">
        <f t="shared" si="489"/>
        <v>133.33333333333331</v>
      </c>
      <c r="AA735" s="932">
        <f t="shared" si="489"/>
        <v>133.33333333333331</v>
      </c>
      <c r="AB735" s="932">
        <f t="shared" si="489"/>
        <v>133.33333333333331</v>
      </c>
      <c r="AC735" s="932">
        <f t="shared" si="489"/>
        <v>133.33333333333331</v>
      </c>
      <c r="AD735" s="932">
        <f t="shared" si="489"/>
        <v>133.33333333333331</v>
      </c>
      <c r="AE735" s="932">
        <f t="shared" si="489"/>
        <v>133.33333333333331</v>
      </c>
      <c r="AF735" s="932">
        <f t="shared" si="489"/>
        <v>133.33333333333331</v>
      </c>
      <c r="AG735" s="932">
        <f t="shared" si="435"/>
        <v>100</v>
      </c>
      <c r="AH735" s="932">
        <f t="shared" si="436"/>
        <v>100</v>
      </c>
      <c r="AI735" s="932">
        <f t="shared" si="437"/>
        <v>100</v>
      </c>
      <c r="AJ735" s="932">
        <f t="shared" si="438"/>
        <v>100</v>
      </c>
      <c r="AK735" s="932">
        <f t="shared" si="439"/>
        <v>100</v>
      </c>
      <c r="AL735" s="932">
        <f t="shared" si="440"/>
        <v>133.33333333333331</v>
      </c>
      <c r="AM735" s="932">
        <f t="shared" si="441"/>
        <v>100</v>
      </c>
      <c r="AN735" s="932">
        <f t="shared" si="442"/>
        <v>100</v>
      </c>
      <c r="AO735" s="932">
        <f t="shared" si="443"/>
        <v>133.33333333333331</v>
      </c>
      <c r="AP735" s="932">
        <f t="shared" si="444"/>
        <v>100</v>
      </c>
      <c r="AQ735" s="932">
        <f t="shared" si="445"/>
        <v>100</v>
      </c>
      <c r="AR735" s="932">
        <f t="shared" si="446"/>
        <v>133.33333333333331</v>
      </c>
      <c r="AS735" s="932">
        <f t="shared" si="447"/>
        <v>100</v>
      </c>
      <c r="AT735" s="932">
        <f t="shared" si="448"/>
        <v>100</v>
      </c>
      <c r="AU735" s="932">
        <f t="shared" si="449"/>
        <v>133.33333333333331</v>
      </c>
      <c r="AV735" s="932">
        <f t="shared" si="450"/>
        <v>100</v>
      </c>
      <c r="AW735" s="932">
        <f t="shared" si="451"/>
        <v>100</v>
      </c>
      <c r="AX735" s="932">
        <f t="shared" si="452"/>
        <v>133.33333333333331</v>
      </c>
      <c r="AY735" s="932">
        <f t="shared" si="453"/>
        <v>100</v>
      </c>
      <c r="AZ735" s="932">
        <f t="shared" si="454"/>
        <v>100</v>
      </c>
      <c r="BA735" s="932">
        <f t="shared" si="455"/>
        <v>133.33333333333331</v>
      </c>
      <c r="BB735" s="932">
        <f t="shared" si="456"/>
        <v>100</v>
      </c>
      <c r="BC735" s="932">
        <f t="shared" si="457"/>
        <v>100</v>
      </c>
      <c r="BD735" s="932">
        <f t="shared" si="458"/>
        <v>133.33333333333331</v>
      </c>
      <c r="BE735" s="932">
        <f t="shared" si="459"/>
        <v>100</v>
      </c>
      <c r="BF735" s="932">
        <f t="shared" si="460"/>
        <v>100</v>
      </c>
      <c r="BG735" s="932">
        <f t="shared" si="461"/>
        <v>133.33333333333331</v>
      </c>
      <c r="BH735" s="932">
        <f t="shared" si="462"/>
        <v>100</v>
      </c>
      <c r="BI735" s="932">
        <f t="shared" si="463"/>
        <v>100</v>
      </c>
      <c r="BJ735" s="932">
        <f t="shared" si="464"/>
        <v>100</v>
      </c>
      <c r="BK735" s="932">
        <f t="shared" si="465"/>
        <v>133.33333333333331</v>
      </c>
      <c r="BL735" s="932">
        <f t="shared" si="466"/>
        <v>100</v>
      </c>
      <c r="BM735" s="932">
        <v>100</v>
      </c>
      <c r="BN735" s="932">
        <v>133.33333333333331</v>
      </c>
    </row>
    <row r="736" spans="1:66">
      <c r="A736" s="937" t="s">
        <v>1642</v>
      </c>
      <c r="B736" s="937"/>
      <c r="C736" s="758"/>
      <c r="D736" s="935"/>
      <c r="E736" s="940"/>
      <c r="F736" s="758"/>
      <c r="G736" s="933"/>
      <c r="H736" s="939">
        <f t="shared" ref="H736:AF736" si="490">+H651</f>
        <v>100</v>
      </c>
      <c r="I736" s="939">
        <f t="shared" si="490"/>
        <v>100.3665525795313</v>
      </c>
      <c r="J736" s="939">
        <f t="shared" si="490"/>
        <v>100.04697719837117</v>
      </c>
      <c r="K736" s="939">
        <f t="shared" si="490"/>
        <v>100.04697719837117</v>
      </c>
      <c r="L736" s="939">
        <f t="shared" si="490"/>
        <v>100.04697719837117</v>
      </c>
      <c r="M736" s="939">
        <f t="shared" si="490"/>
        <v>100.82562032069964</v>
      </c>
      <c r="N736" s="939">
        <f t="shared" si="490"/>
        <v>100.82562032069964</v>
      </c>
      <c r="O736" s="939">
        <f t="shared" si="490"/>
        <v>100.82562032069964</v>
      </c>
      <c r="P736" s="939">
        <f t="shared" si="490"/>
        <v>100.82562032069964</v>
      </c>
      <c r="Q736" s="939">
        <f t="shared" si="490"/>
        <v>101.20387389746548</v>
      </c>
      <c r="R736" s="939">
        <f t="shared" si="490"/>
        <v>101.20387389746548</v>
      </c>
      <c r="S736" s="939">
        <f t="shared" si="490"/>
        <v>101.70571475648121</v>
      </c>
      <c r="T736" s="939">
        <f t="shared" si="490"/>
        <v>101.70571475648121</v>
      </c>
      <c r="U736" s="939">
        <f t="shared" si="490"/>
        <v>102.21890448966541</v>
      </c>
      <c r="V736" s="939">
        <f t="shared" si="490"/>
        <v>104.55215617552922</v>
      </c>
      <c r="W736" s="939">
        <f t="shared" si="490"/>
        <v>106.39110595443135</v>
      </c>
      <c r="X736" s="939">
        <f t="shared" si="490"/>
        <v>107.57245361568583</v>
      </c>
      <c r="Y736" s="939">
        <f t="shared" si="490"/>
        <v>108.2338583277532</v>
      </c>
      <c r="Z736" s="939">
        <f t="shared" si="490"/>
        <v>109.48622278905606</v>
      </c>
      <c r="AA736" s="939">
        <f t="shared" si="490"/>
        <v>110.05510470198767</v>
      </c>
      <c r="AB736" s="939">
        <f t="shared" si="490"/>
        <v>111.90004337850665</v>
      </c>
      <c r="AC736" s="939">
        <f t="shared" si="490"/>
        <v>114.63435022371189</v>
      </c>
      <c r="AD736" s="939">
        <f t="shared" si="490"/>
        <v>114.44621430479641</v>
      </c>
      <c r="AE736" s="939">
        <f t="shared" si="490"/>
        <v>114.44621430479641</v>
      </c>
      <c r="AF736" s="939">
        <f t="shared" si="490"/>
        <v>114.94487212438976</v>
      </c>
      <c r="AG736" s="939">
        <f t="shared" si="435"/>
        <v>113.01712239042583</v>
      </c>
      <c r="AH736" s="939">
        <f t="shared" si="436"/>
        <v>100.43571368666274</v>
      </c>
      <c r="AI736" s="939">
        <f t="shared" si="437"/>
        <v>112.52682760139918</v>
      </c>
      <c r="AJ736" s="939">
        <f t="shared" si="438"/>
        <v>112.52682760139918</v>
      </c>
      <c r="AK736" s="939">
        <f t="shared" si="439"/>
        <v>100</v>
      </c>
      <c r="AL736" s="939">
        <f t="shared" si="440"/>
        <v>113.08481572627089</v>
      </c>
      <c r="AM736" s="939">
        <f t="shared" si="441"/>
        <v>112.52682760139918</v>
      </c>
      <c r="AN736" s="939">
        <f t="shared" si="442"/>
        <v>99.83588172432755</v>
      </c>
      <c r="AO736" s="939">
        <f t="shared" si="443"/>
        <v>113.27071366838533</v>
      </c>
      <c r="AP736" s="939">
        <f t="shared" si="444"/>
        <v>112.71180827762366</v>
      </c>
      <c r="AQ736" s="939">
        <f t="shared" si="445"/>
        <v>102.44352617090267</v>
      </c>
      <c r="AR736" s="939">
        <f t="shared" si="446"/>
        <v>110.98373907602274</v>
      </c>
      <c r="AS736" s="939">
        <f t="shared" si="447"/>
        <v>110.02335871335667</v>
      </c>
      <c r="AT736" s="939">
        <f t="shared" si="448"/>
        <v>101.67637719441981</v>
      </c>
      <c r="AU736" s="939">
        <f t="shared" si="449"/>
        <v>109.15390785787528</v>
      </c>
      <c r="AV736" s="939">
        <f t="shared" si="450"/>
        <v>108.20936165238875</v>
      </c>
      <c r="AW736" s="939">
        <f t="shared" si="451"/>
        <v>100.51959223584474</v>
      </c>
      <c r="AX736" s="939">
        <f t="shared" si="452"/>
        <v>108.58968428937936</v>
      </c>
      <c r="AY736" s="939">
        <f t="shared" si="453"/>
        <v>107.65002050396488</v>
      </c>
      <c r="AZ736" s="939">
        <f t="shared" si="454"/>
        <v>101.15709121032206</v>
      </c>
      <c r="BA736" s="939">
        <f t="shared" si="455"/>
        <v>107.34757493530903</v>
      </c>
      <c r="BB736" s="939">
        <f t="shared" si="456"/>
        <v>106.41865954819021</v>
      </c>
      <c r="BC736" s="939">
        <f t="shared" si="457"/>
        <v>100.61484579912094</v>
      </c>
      <c r="BD736" s="939">
        <f t="shared" si="458"/>
        <v>107.52194281931506</v>
      </c>
      <c r="BE736" s="939">
        <f t="shared" si="459"/>
        <v>105.76834730796753</v>
      </c>
      <c r="BF736" s="939">
        <f t="shared" si="460"/>
        <v>101.11038197286948</v>
      </c>
      <c r="BG736" s="939">
        <f t="shared" si="461"/>
        <v>106.34114986151073</v>
      </c>
      <c r="BH736" s="939">
        <f t="shared" si="462"/>
        <v>104.60681212375194</v>
      </c>
      <c r="BI736" s="939">
        <f t="shared" si="463"/>
        <v>101.75888269182587</v>
      </c>
      <c r="BJ736" s="939">
        <f t="shared" si="464"/>
        <v>102.28260290746876</v>
      </c>
      <c r="BK736" s="939">
        <f t="shared" si="465"/>
        <v>104.50306356405478</v>
      </c>
      <c r="BL736" s="939">
        <f t="shared" si="466"/>
        <v>102.79870352011524</v>
      </c>
      <c r="BM736" s="939">
        <v>100.504582986721</v>
      </c>
      <c r="BN736" s="939">
        <v>101.84558686387707</v>
      </c>
    </row>
    <row r="737" spans="1:66">
      <c r="A737" s="937"/>
      <c r="B737" s="936" t="s">
        <v>1641</v>
      </c>
      <c r="C737" s="758"/>
      <c r="D737" s="935"/>
      <c r="E737" s="938"/>
      <c r="F737" s="758"/>
      <c r="G737" s="933"/>
      <c r="H737" s="932">
        <f t="shared" ref="H737:AF737" si="491">+H652</f>
        <v>100</v>
      </c>
      <c r="I737" s="932">
        <f t="shared" si="491"/>
        <v>100.52546987557714</v>
      </c>
      <c r="J737" s="932">
        <f t="shared" si="491"/>
        <v>100.00000000000001</v>
      </c>
      <c r="K737" s="932">
        <f t="shared" si="491"/>
        <v>100.00000000000001</v>
      </c>
      <c r="L737" s="932">
        <f t="shared" si="491"/>
        <v>100.00000000000001</v>
      </c>
      <c r="M737" s="932">
        <f t="shared" si="491"/>
        <v>101.28030358009309</v>
      </c>
      <c r="N737" s="932">
        <f t="shared" si="491"/>
        <v>101.28030358009309</v>
      </c>
      <c r="O737" s="932">
        <f t="shared" si="491"/>
        <v>101.28030358009309</v>
      </c>
      <c r="P737" s="932">
        <f t="shared" si="491"/>
        <v>101.28030358009309</v>
      </c>
      <c r="Q737" s="932">
        <f t="shared" si="491"/>
        <v>101.28030358009309</v>
      </c>
      <c r="R737" s="932">
        <f t="shared" si="491"/>
        <v>101.28030358009309</v>
      </c>
      <c r="S737" s="932">
        <f t="shared" si="491"/>
        <v>102.05029417424484</v>
      </c>
      <c r="T737" s="932">
        <f t="shared" si="491"/>
        <v>102.05029417424484</v>
      </c>
      <c r="U737" s="932">
        <f t="shared" si="491"/>
        <v>102.89411932831271</v>
      </c>
      <c r="V737" s="932">
        <f t="shared" si="491"/>
        <v>105.87190816974989</v>
      </c>
      <c r="W737" s="932">
        <f t="shared" si="491"/>
        <v>107.02978876245928</v>
      </c>
      <c r="X737" s="932">
        <f t="shared" si="491"/>
        <v>108.75655307157284</v>
      </c>
      <c r="Y737" s="932">
        <f t="shared" si="491"/>
        <v>109.73873585600433</v>
      </c>
      <c r="Z737" s="932">
        <f t="shared" si="491"/>
        <v>111.79796768815936</v>
      </c>
      <c r="AA737" s="932">
        <f t="shared" si="491"/>
        <v>112.73336611253444</v>
      </c>
      <c r="AB737" s="932">
        <f t="shared" si="491"/>
        <v>113.24603679087529</v>
      </c>
      <c r="AC737" s="932">
        <f t="shared" si="491"/>
        <v>117.74198974107993</v>
      </c>
      <c r="AD737" s="932">
        <f t="shared" si="491"/>
        <v>117.35789866705203</v>
      </c>
      <c r="AE737" s="932">
        <f t="shared" si="491"/>
        <v>117.35789866705203</v>
      </c>
      <c r="AF737" s="932">
        <f t="shared" si="491"/>
        <v>118.17782935591185</v>
      </c>
      <c r="AG737" s="932">
        <f t="shared" si="435"/>
        <v>115.80351660146144</v>
      </c>
      <c r="AH737" s="932">
        <f t="shared" si="436"/>
        <v>100.69865829072656</v>
      </c>
      <c r="AI737" s="932">
        <f t="shared" si="437"/>
        <v>115.00005915384266</v>
      </c>
      <c r="AJ737" s="932">
        <f t="shared" si="438"/>
        <v>115.00005915384266</v>
      </c>
      <c r="AK737" s="932">
        <f t="shared" si="439"/>
        <v>100</v>
      </c>
      <c r="AL737" s="932">
        <f t="shared" si="440"/>
        <v>115.87435514966114</v>
      </c>
      <c r="AM737" s="932">
        <f t="shared" si="441"/>
        <v>115.00005915384266</v>
      </c>
      <c r="AN737" s="932">
        <f t="shared" si="442"/>
        <v>99.673785813478659</v>
      </c>
      <c r="AO737" s="932">
        <f t="shared" si="443"/>
        <v>116.25359085537184</v>
      </c>
      <c r="AP737" s="932">
        <f t="shared" si="444"/>
        <v>115.37643344765127</v>
      </c>
      <c r="AQ737" s="932">
        <f t="shared" si="445"/>
        <v>103.97007531354679</v>
      </c>
      <c r="AR737" s="932">
        <f t="shared" si="446"/>
        <v>111.81447210149764</v>
      </c>
      <c r="AS737" s="932">
        <f t="shared" si="447"/>
        <v>110.97080876368115</v>
      </c>
      <c r="AT737" s="932">
        <f t="shared" si="448"/>
        <v>100.45476392306878</v>
      </c>
      <c r="AU737" s="932">
        <f t="shared" si="449"/>
        <v>111.30828219070669</v>
      </c>
      <c r="AV737" s="932">
        <f t="shared" si="450"/>
        <v>110.46843816054943</v>
      </c>
      <c r="AW737" s="932">
        <f t="shared" si="451"/>
        <v>100.83668642974281</v>
      </c>
      <c r="AX737" s="932">
        <f t="shared" si="452"/>
        <v>110.38470831571792</v>
      </c>
      <c r="AY737" s="932">
        <f t="shared" si="453"/>
        <v>109.55183284162899</v>
      </c>
      <c r="AZ737" s="932">
        <f t="shared" si="454"/>
        <v>101.87648583345911</v>
      </c>
      <c r="BA737" s="932">
        <f t="shared" si="455"/>
        <v>108.3515076247992</v>
      </c>
      <c r="BB737" s="932">
        <f t="shared" si="456"/>
        <v>107.5339730707997</v>
      </c>
      <c r="BC737" s="932">
        <f t="shared" si="457"/>
        <v>100.9031021641382</v>
      </c>
      <c r="BD737" s="932">
        <f t="shared" si="458"/>
        <v>108.75655307157281</v>
      </c>
      <c r="BE737" s="932">
        <f t="shared" si="459"/>
        <v>106.57152333718652</v>
      </c>
      <c r="BF737" s="932">
        <f t="shared" si="460"/>
        <v>101.61334926386327</v>
      </c>
      <c r="BG737" s="932">
        <f t="shared" si="461"/>
        <v>107.02978876245925</v>
      </c>
      <c r="BH737" s="932">
        <f t="shared" si="462"/>
        <v>104.8794514788093</v>
      </c>
      <c r="BI737" s="932">
        <f t="shared" si="463"/>
        <v>101.09366177744987</v>
      </c>
      <c r="BJ737" s="932">
        <f t="shared" si="464"/>
        <v>102.89403209908986</v>
      </c>
      <c r="BK737" s="932">
        <f t="shared" si="465"/>
        <v>105.87190816974987</v>
      </c>
      <c r="BL737" s="932">
        <f t="shared" si="466"/>
        <v>103.74483388453528</v>
      </c>
      <c r="BM737" s="932">
        <v>100.82687184872499</v>
      </c>
      <c r="BN737" s="932">
        <v>102.35626797434252</v>
      </c>
    </row>
    <row r="738" spans="1:66">
      <c r="A738" s="937"/>
      <c r="B738" s="936" t="s">
        <v>1640</v>
      </c>
      <c r="C738" s="758"/>
      <c r="D738" s="935"/>
      <c r="E738" s="934"/>
      <c r="F738" s="758"/>
      <c r="G738" s="933"/>
      <c r="H738" s="932">
        <f t="shared" ref="H738:AF738" si="492">+H665</f>
        <v>99.999999999999986</v>
      </c>
      <c r="I738" s="932">
        <f t="shared" si="492"/>
        <v>100.6439713032504</v>
      </c>
      <c r="J738" s="932">
        <f t="shared" si="492"/>
        <v>100.6439713032504</v>
      </c>
      <c r="K738" s="932">
        <f t="shared" si="492"/>
        <v>100.6439713032504</v>
      </c>
      <c r="L738" s="932">
        <f t="shared" si="492"/>
        <v>100.6439713032504</v>
      </c>
      <c r="M738" s="932">
        <f t="shared" si="492"/>
        <v>100.6439713032504</v>
      </c>
      <c r="N738" s="932">
        <f t="shared" si="492"/>
        <v>100.6439713032504</v>
      </c>
      <c r="O738" s="932">
        <f t="shared" si="492"/>
        <v>100.6439713032504</v>
      </c>
      <c r="P738" s="932">
        <f t="shared" si="492"/>
        <v>100.6439713032504</v>
      </c>
      <c r="Q738" s="932">
        <f t="shared" si="492"/>
        <v>105.8291346853777</v>
      </c>
      <c r="R738" s="932">
        <f t="shared" si="492"/>
        <v>105.8291346853777</v>
      </c>
      <c r="S738" s="932">
        <f t="shared" si="492"/>
        <v>106.28911418769941</v>
      </c>
      <c r="T738" s="932">
        <f t="shared" si="492"/>
        <v>106.28911418769941</v>
      </c>
      <c r="U738" s="932">
        <f t="shared" si="492"/>
        <v>106.28911418769941</v>
      </c>
      <c r="V738" s="932">
        <f t="shared" si="492"/>
        <v>113.44817404378048</v>
      </c>
      <c r="W738" s="932">
        <f t="shared" si="492"/>
        <v>129.00366419016243</v>
      </c>
      <c r="X738" s="932">
        <f t="shared" si="492"/>
        <v>130.80190441923111</v>
      </c>
      <c r="Y738" s="932">
        <f t="shared" si="492"/>
        <v>131.68018564365639</v>
      </c>
      <c r="Z738" s="932">
        <f t="shared" si="492"/>
        <v>131.68018564365639</v>
      </c>
      <c r="AA738" s="932">
        <f t="shared" si="492"/>
        <v>131.68018564365639</v>
      </c>
      <c r="AB738" s="932">
        <f t="shared" si="492"/>
        <v>152.69682687355868</v>
      </c>
      <c r="AC738" s="932">
        <f t="shared" si="492"/>
        <v>152.69682687355868</v>
      </c>
      <c r="AD738" s="932">
        <f t="shared" si="492"/>
        <v>153.3199592867</v>
      </c>
      <c r="AE738" s="932">
        <f t="shared" si="492"/>
        <v>153.3199592867</v>
      </c>
      <c r="AF738" s="932">
        <f t="shared" si="492"/>
        <v>153.3199592867</v>
      </c>
      <c r="AG738" s="932">
        <f t="shared" si="435"/>
        <v>144.24803561345641</v>
      </c>
      <c r="AH738" s="932">
        <f t="shared" si="436"/>
        <v>100</v>
      </c>
      <c r="AI738" s="932">
        <f t="shared" si="437"/>
        <v>144.24803561345641</v>
      </c>
      <c r="AJ738" s="932">
        <f t="shared" si="438"/>
        <v>144.24803561345641</v>
      </c>
      <c r="AK738" s="932">
        <f t="shared" si="439"/>
        <v>100</v>
      </c>
      <c r="AL738" s="932">
        <f t="shared" si="440"/>
        <v>144.87500038860665</v>
      </c>
      <c r="AM738" s="932">
        <f t="shared" si="441"/>
        <v>144.24803561345641</v>
      </c>
      <c r="AN738" s="932">
        <f t="shared" si="442"/>
        <v>100.40808471655885</v>
      </c>
      <c r="AO738" s="932">
        <f t="shared" si="443"/>
        <v>144.28619049708306</v>
      </c>
      <c r="AP738" s="932">
        <f t="shared" si="444"/>
        <v>143.66177387075254</v>
      </c>
      <c r="AQ738" s="932">
        <f t="shared" si="445"/>
        <v>100</v>
      </c>
      <c r="AR738" s="932">
        <f t="shared" si="446"/>
        <v>151.71979493284081</v>
      </c>
      <c r="AS738" s="932">
        <f t="shared" si="447"/>
        <v>143.66177387075254</v>
      </c>
      <c r="AT738" s="932">
        <f t="shared" si="448"/>
        <v>115.96036725432333</v>
      </c>
      <c r="AU738" s="932">
        <f t="shared" si="449"/>
        <v>130.83762885994508</v>
      </c>
      <c r="AV738" s="932">
        <f t="shared" si="450"/>
        <v>123.88868479148114</v>
      </c>
      <c r="AW738" s="932">
        <f t="shared" si="451"/>
        <v>100</v>
      </c>
      <c r="AX738" s="932">
        <f t="shared" si="452"/>
        <v>130.83762885994508</v>
      </c>
      <c r="AY738" s="932">
        <f t="shared" si="453"/>
        <v>123.88868479148114</v>
      </c>
      <c r="AZ738" s="932">
        <f t="shared" si="454"/>
        <v>100</v>
      </c>
      <c r="BA738" s="932">
        <f t="shared" si="455"/>
        <v>130.83762885994508</v>
      </c>
      <c r="BB738" s="932">
        <f t="shared" si="456"/>
        <v>123.88868479148114</v>
      </c>
      <c r="BC738" s="932">
        <f t="shared" si="457"/>
        <v>100.67145904971713</v>
      </c>
      <c r="BD738" s="932">
        <f t="shared" si="458"/>
        <v>129.96496732537693</v>
      </c>
      <c r="BE738" s="932">
        <f t="shared" si="459"/>
        <v>123.06237136217332</v>
      </c>
      <c r="BF738" s="932">
        <f t="shared" si="460"/>
        <v>101.39394507927923</v>
      </c>
      <c r="BG738" s="932">
        <f t="shared" si="461"/>
        <v>128.17823315165239</v>
      </c>
      <c r="BH738" s="932">
        <f t="shared" si="462"/>
        <v>121.37053279261568</v>
      </c>
      <c r="BI738" s="932">
        <f t="shared" si="463"/>
        <v>113.71153857476715</v>
      </c>
      <c r="BJ738" s="932">
        <f t="shared" si="464"/>
        <v>106.73545913971836</v>
      </c>
      <c r="BK738" s="932">
        <f t="shared" si="465"/>
        <v>112.72227494079077</v>
      </c>
      <c r="BL738" s="932">
        <f t="shared" si="466"/>
        <v>106.73545913971836</v>
      </c>
      <c r="BM738" s="932">
        <v>100</v>
      </c>
      <c r="BN738" s="932">
        <v>105.6090223898654</v>
      </c>
    </row>
    <row r="739" spans="1:66">
      <c r="A739" s="931"/>
      <c r="B739" s="930" t="s">
        <v>1639</v>
      </c>
      <c r="C739" s="875"/>
      <c r="D739" s="929"/>
      <c r="E739" s="928"/>
      <c r="F739" s="875"/>
      <c r="G739" s="927"/>
      <c r="H739" s="926">
        <f t="shared" ref="H739:AF739" si="493">+H671</f>
        <v>100</v>
      </c>
      <c r="I739" s="926">
        <f t="shared" si="493"/>
        <v>100</v>
      </c>
      <c r="J739" s="926">
        <f t="shared" si="493"/>
        <v>100</v>
      </c>
      <c r="K739" s="926">
        <f t="shared" si="493"/>
        <v>100</v>
      </c>
      <c r="L739" s="926">
        <f t="shared" si="493"/>
        <v>100</v>
      </c>
      <c r="M739" s="926">
        <f t="shared" si="493"/>
        <v>100</v>
      </c>
      <c r="N739" s="926">
        <f t="shared" si="493"/>
        <v>100</v>
      </c>
      <c r="O739" s="926">
        <f t="shared" si="493"/>
        <v>100</v>
      </c>
      <c r="P739" s="926">
        <f t="shared" si="493"/>
        <v>100</v>
      </c>
      <c r="Q739" s="926">
        <f t="shared" si="493"/>
        <v>100</v>
      </c>
      <c r="R739" s="926">
        <f t="shared" si="493"/>
        <v>100</v>
      </c>
      <c r="S739" s="926">
        <f t="shared" si="493"/>
        <v>100</v>
      </c>
      <c r="T739" s="926">
        <f t="shared" si="493"/>
        <v>100</v>
      </c>
      <c r="U739" s="926">
        <f t="shared" si="493"/>
        <v>100</v>
      </c>
      <c r="V739" s="926">
        <f t="shared" si="493"/>
        <v>100</v>
      </c>
      <c r="W739" s="926">
        <f t="shared" si="493"/>
        <v>100</v>
      </c>
      <c r="X739" s="926">
        <f t="shared" si="493"/>
        <v>100</v>
      </c>
      <c r="Y739" s="926">
        <f t="shared" si="493"/>
        <v>100</v>
      </c>
      <c r="Z739" s="926">
        <f t="shared" si="493"/>
        <v>100</v>
      </c>
      <c r="AA739" s="926">
        <f t="shared" si="493"/>
        <v>100</v>
      </c>
      <c r="AB739" s="926">
        <f t="shared" si="493"/>
        <v>100</v>
      </c>
      <c r="AC739" s="926">
        <f t="shared" si="493"/>
        <v>100</v>
      </c>
      <c r="AD739" s="926">
        <f t="shared" si="493"/>
        <v>100</v>
      </c>
      <c r="AE739" s="926">
        <f t="shared" si="493"/>
        <v>100</v>
      </c>
      <c r="AF739" s="926">
        <f t="shared" si="493"/>
        <v>100</v>
      </c>
      <c r="AG739" s="926">
        <f t="shared" si="435"/>
        <v>100</v>
      </c>
      <c r="AH739" s="926">
        <f t="shared" si="436"/>
        <v>100</v>
      </c>
      <c r="AI739" s="926">
        <f t="shared" si="437"/>
        <v>100</v>
      </c>
      <c r="AJ739" s="926">
        <f t="shared" si="438"/>
        <v>100</v>
      </c>
      <c r="AK739" s="926">
        <f t="shared" si="439"/>
        <v>100</v>
      </c>
      <c r="AL739" s="926">
        <f t="shared" si="440"/>
        <v>100</v>
      </c>
      <c r="AM739" s="926">
        <f t="shared" si="441"/>
        <v>100</v>
      </c>
      <c r="AN739" s="926">
        <f t="shared" si="442"/>
        <v>100</v>
      </c>
      <c r="AO739" s="926">
        <f t="shared" si="443"/>
        <v>100</v>
      </c>
      <c r="AP739" s="926">
        <f t="shared" si="444"/>
        <v>100</v>
      </c>
      <c r="AQ739" s="926">
        <f t="shared" si="445"/>
        <v>100</v>
      </c>
      <c r="AR739" s="926">
        <f t="shared" si="446"/>
        <v>100</v>
      </c>
      <c r="AS739" s="926">
        <f t="shared" si="447"/>
        <v>100</v>
      </c>
      <c r="AT739" s="926">
        <f t="shared" si="448"/>
        <v>100</v>
      </c>
      <c r="AU739" s="926">
        <f t="shared" si="449"/>
        <v>100</v>
      </c>
      <c r="AV739" s="926">
        <f t="shared" si="450"/>
        <v>100</v>
      </c>
      <c r="AW739" s="926">
        <f t="shared" si="451"/>
        <v>100</v>
      </c>
      <c r="AX739" s="926">
        <f t="shared" si="452"/>
        <v>100</v>
      </c>
      <c r="AY739" s="926">
        <f t="shared" si="453"/>
        <v>100</v>
      </c>
      <c r="AZ739" s="926">
        <f t="shared" si="454"/>
        <v>100</v>
      </c>
      <c r="BA739" s="926">
        <f t="shared" si="455"/>
        <v>100</v>
      </c>
      <c r="BB739" s="926">
        <f t="shared" si="456"/>
        <v>100</v>
      </c>
      <c r="BC739" s="926">
        <f t="shared" si="457"/>
        <v>100</v>
      </c>
      <c r="BD739" s="926">
        <f t="shared" si="458"/>
        <v>100</v>
      </c>
      <c r="BE739" s="926">
        <f t="shared" si="459"/>
        <v>100</v>
      </c>
      <c r="BF739" s="926">
        <f t="shared" si="460"/>
        <v>100</v>
      </c>
      <c r="BG739" s="926">
        <f t="shared" si="461"/>
        <v>100</v>
      </c>
      <c r="BH739" s="926">
        <f t="shared" si="462"/>
        <v>100</v>
      </c>
      <c r="BI739" s="926">
        <f t="shared" si="463"/>
        <v>100</v>
      </c>
      <c r="BJ739" s="926">
        <f t="shared" si="464"/>
        <v>100</v>
      </c>
      <c r="BK739" s="926">
        <f t="shared" si="465"/>
        <v>100</v>
      </c>
      <c r="BL739" s="926">
        <f t="shared" si="466"/>
        <v>100</v>
      </c>
      <c r="BM739" s="926">
        <v>100</v>
      </c>
      <c r="BN739" s="926">
        <v>100</v>
      </c>
    </row>
  </sheetData>
  <mergeCells count="183">
    <mergeCell ref="C672:E672"/>
    <mergeCell ref="C644:E644"/>
    <mergeCell ref="C646:E646"/>
    <mergeCell ref="B648:E648"/>
    <mergeCell ref="C649:E649"/>
    <mergeCell ref="B652:E652"/>
    <mergeCell ref="C653:E653"/>
    <mergeCell ref="E344:E345"/>
    <mergeCell ref="A344:D345"/>
    <mergeCell ref="C657:E657"/>
    <mergeCell ref="B665:E665"/>
    <mergeCell ref="C666:E666"/>
    <mergeCell ref="C669:E669"/>
    <mergeCell ref="C634:E634"/>
    <mergeCell ref="C636:E636"/>
    <mergeCell ref="B639:E639"/>
    <mergeCell ref="C640:E640"/>
    <mergeCell ref="A642:E642"/>
    <mergeCell ref="B643:E643"/>
    <mergeCell ref="C618:E618"/>
    <mergeCell ref="B621:E621"/>
    <mergeCell ref="C622:E622"/>
    <mergeCell ref="C626:E626"/>
    <mergeCell ref="B628:E628"/>
    <mergeCell ref="C632:E632"/>
    <mergeCell ref="B671:E671"/>
    <mergeCell ref="C596:E596"/>
    <mergeCell ref="C598:E598"/>
    <mergeCell ref="C602:E602"/>
    <mergeCell ref="A604:E604"/>
    <mergeCell ref="B605:E605"/>
    <mergeCell ref="C606:E606"/>
    <mergeCell ref="A612:E612"/>
    <mergeCell ref="B613:E613"/>
    <mergeCell ref="C614:E614"/>
    <mergeCell ref="B576:E576"/>
    <mergeCell ref="C577:E577"/>
    <mergeCell ref="B581:E581"/>
    <mergeCell ref="C582:E582"/>
    <mergeCell ref="C584:E584"/>
    <mergeCell ref="B586:E586"/>
    <mergeCell ref="C587:E587"/>
    <mergeCell ref="C589:E589"/>
    <mergeCell ref="C593:E593"/>
    <mergeCell ref="B550:E550"/>
    <mergeCell ref="C551:E551"/>
    <mergeCell ref="B555:E555"/>
    <mergeCell ref="C556:E556"/>
    <mergeCell ref="A562:E562"/>
    <mergeCell ref="B563:E563"/>
    <mergeCell ref="C564:E564"/>
    <mergeCell ref="B572:E572"/>
    <mergeCell ref="C573:E573"/>
    <mergeCell ref="B523:E523"/>
    <mergeCell ref="C524:E524"/>
    <mergeCell ref="C529:E529"/>
    <mergeCell ref="B532:E532"/>
    <mergeCell ref="C533:E533"/>
    <mergeCell ref="B538:E538"/>
    <mergeCell ref="C539:E539"/>
    <mergeCell ref="B544:E544"/>
    <mergeCell ref="C545:E545"/>
    <mergeCell ref="C502:E502"/>
    <mergeCell ref="C505:E505"/>
    <mergeCell ref="C508:E508"/>
    <mergeCell ref="C510:E510"/>
    <mergeCell ref="B513:E513"/>
    <mergeCell ref="C514:E514"/>
    <mergeCell ref="C517:E517"/>
    <mergeCell ref="C520:E520"/>
    <mergeCell ref="A522:E522"/>
    <mergeCell ref="C424:E424"/>
    <mergeCell ref="C432:E432"/>
    <mergeCell ref="C437:E437"/>
    <mergeCell ref="C468:E468"/>
    <mergeCell ref="C473:E473"/>
    <mergeCell ref="A487:E487"/>
    <mergeCell ref="B491:E491"/>
    <mergeCell ref="C499:E499"/>
    <mergeCell ref="B501:E501"/>
    <mergeCell ref="C370:E370"/>
    <mergeCell ref="C377:E377"/>
    <mergeCell ref="C382:E382"/>
    <mergeCell ref="C387:E387"/>
    <mergeCell ref="C404:E404"/>
    <mergeCell ref="B411:E411"/>
    <mergeCell ref="C412:E412"/>
    <mergeCell ref="A419:E419"/>
    <mergeCell ref="C421:E421"/>
    <mergeCell ref="C298:E298"/>
    <mergeCell ref="A300:E300"/>
    <mergeCell ref="C302:E302"/>
    <mergeCell ref="C304:E304"/>
    <mergeCell ref="B306:E306"/>
    <mergeCell ref="B301:E301"/>
    <mergeCell ref="A347:E347"/>
    <mergeCell ref="C349:E349"/>
    <mergeCell ref="C360:E360"/>
    <mergeCell ref="B329:E329"/>
    <mergeCell ref="C330:E330"/>
    <mergeCell ref="C307:E307"/>
    <mergeCell ref="B310:E310"/>
    <mergeCell ref="C311:E311"/>
    <mergeCell ref="C315:E315"/>
    <mergeCell ref="C327:E327"/>
    <mergeCell ref="B323:E323"/>
    <mergeCell ref="C324:E324"/>
    <mergeCell ref="C280:E280"/>
    <mergeCell ref="A270:E270"/>
    <mergeCell ref="B271:E271"/>
    <mergeCell ref="C284:E284"/>
    <mergeCell ref="B286:E286"/>
    <mergeCell ref="C290:E290"/>
    <mergeCell ref="C292:E292"/>
    <mergeCell ref="C294:E294"/>
    <mergeCell ref="B297:E297"/>
    <mergeCell ref="A5:E5"/>
    <mergeCell ref="C7:E7"/>
    <mergeCell ref="C18:E18"/>
    <mergeCell ref="C28:E28"/>
    <mergeCell ref="C35:E35"/>
    <mergeCell ref="C40:E40"/>
    <mergeCell ref="C172:E172"/>
    <mergeCell ref="C175:E175"/>
    <mergeCell ref="B190:E190"/>
    <mergeCell ref="B181:E181"/>
    <mergeCell ref="C182:E182"/>
    <mergeCell ref="C187:E187"/>
    <mergeCell ref="C82:E82"/>
    <mergeCell ref="C90:E90"/>
    <mergeCell ref="C95:E95"/>
    <mergeCell ref="C126:E126"/>
    <mergeCell ref="C131:E131"/>
    <mergeCell ref="A145:E145"/>
    <mergeCell ref="C45:E45"/>
    <mergeCell ref="C62:E62"/>
    <mergeCell ref="B69:E69"/>
    <mergeCell ref="C70:E70"/>
    <mergeCell ref="A77:E77"/>
    <mergeCell ref="C79:E79"/>
    <mergeCell ref="B208:E208"/>
    <mergeCell ref="C209:E209"/>
    <mergeCell ref="B213:E213"/>
    <mergeCell ref="B202:E202"/>
    <mergeCell ref="C203:E203"/>
    <mergeCell ref="C214:E214"/>
    <mergeCell ref="B149:E149"/>
    <mergeCell ref="C157:E157"/>
    <mergeCell ref="B159:E159"/>
    <mergeCell ref="C160:E160"/>
    <mergeCell ref="C178:E178"/>
    <mergeCell ref="A180:E180"/>
    <mergeCell ref="C163:E163"/>
    <mergeCell ref="C166:E166"/>
    <mergeCell ref="C168:E168"/>
    <mergeCell ref="B171:E171"/>
    <mergeCell ref="C191:E191"/>
    <mergeCell ref="B196:E196"/>
    <mergeCell ref="C197:E197"/>
    <mergeCell ref="B678:E678"/>
    <mergeCell ref="A220:E220"/>
    <mergeCell ref="B221:E221"/>
    <mergeCell ref="C240:E240"/>
    <mergeCell ref="C242:E242"/>
    <mergeCell ref="B244:E244"/>
    <mergeCell ref="C222:E222"/>
    <mergeCell ref="B230:E230"/>
    <mergeCell ref="C231:E231"/>
    <mergeCell ref="B234:E234"/>
    <mergeCell ref="C235:E235"/>
    <mergeCell ref="B239:E239"/>
    <mergeCell ref="C254:E254"/>
    <mergeCell ref="C256:E256"/>
    <mergeCell ref="C260:E260"/>
    <mergeCell ref="A262:E262"/>
    <mergeCell ref="C245:E245"/>
    <mergeCell ref="C247:E247"/>
    <mergeCell ref="C251:E251"/>
    <mergeCell ref="B263:E263"/>
    <mergeCell ref="C264:E264"/>
    <mergeCell ref="C272:E272"/>
    <mergeCell ref="C276:E276"/>
    <mergeCell ref="B279:E279"/>
  </mergeCells>
  <conditionalFormatting sqref="BG698:BI739 BG694:BI695 BG681:BI691 AL698:BC739 AL681:BC691 AL694:BC695 C698:E739 F681:F739 C681:E691 C694:E695 A681:B739 H31:J31 H681:AH691 H694:AH695 H698:AH739">
    <cfRule type="cellIs" dxfId="2734" priority="2735" stopIfTrue="1" operator="lessThan">
      <formula>0.001</formula>
    </cfRule>
  </conditionalFormatting>
  <conditionalFormatting sqref="BJ681">
    <cfRule type="cellIs" dxfId="2733" priority="2734" stopIfTrue="1" operator="lessThan">
      <formula>0.001</formula>
    </cfRule>
  </conditionalFormatting>
  <conditionalFormatting sqref="BJ682">
    <cfRule type="cellIs" dxfId="2732" priority="2733" stopIfTrue="1" operator="lessThan">
      <formula>0.001</formula>
    </cfRule>
  </conditionalFormatting>
  <conditionalFormatting sqref="BJ683:BJ690">
    <cfRule type="cellIs" dxfId="2731" priority="2732" stopIfTrue="1" operator="lessThan">
      <formula>0.001</formula>
    </cfRule>
  </conditionalFormatting>
  <conditionalFormatting sqref="BJ691">
    <cfRule type="cellIs" dxfId="2730" priority="2731" stopIfTrue="1" operator="lessThan">
      <formula>0.001</formula>
    </cfRule>
  </conditionalFormatting>
  <conditionalFormatting sqref="BJ694">
    <cfRule type="cellIs" dxfId="2729" priority="2730" stopIfTrue="1" operator="lessThan">
      <formula>0.001</formula>
    </cfRule>
  </conditionalFormatting>
  <conditionalFormatting sqref="BJ695">
    <cfRule type="cellIs" dxfId="2728" priority="2729" stopIfTrue="1" operator="lessThan">
      <formula>0.001</formula>
    </cfRule>
  </conditionalFormatting>
  <conditionalFormatting sqref="BJ698">
    <cfRule type="cellIs" dxfId="2727" priority="2728" stopIfTrue="1" operator="lessThan">
      <formula>0.001</formula>
    </cfRule>
  </conditionalFormatting>
  <conditionalFormatting sqref="BJ699">
    <cfRule type="cellIs" dxfId="2726" priority="2727" stopIfTrue="1" operator="lessThan">
      <formula>0.001</formula>
    </cfRule>
  </conditionalFormatting>
  <conditionalFormatting sqref="BJ700">
    <cfRule type="cellIs" dxfId="2725" priority="2726" stopIfTrue="1" operator="lessThan">
      <formula>0.001</formula>
    </cfRule>
  </conditionalFormatting>
  <conditionalFormatting sqref="BJ701:BJ703">
    <cfRule type="cellIs" dxfId="2724" priority="2725" stopIfTrue="1" operator="lessThan">
      <formula>0.001</formula>
    </cfRule>
  </conditionalFormatting>
  <conditionalFormatting sqref="BJ704">
    <cfRule type="cellIs" dxfId="2723" priority="2724" stopIfTrue="1" operator="lessThan">
      <formula>0.001</formula>
    </cfRule>
  </conditionalFormatting>
  <conditionalFormatting sqref="BJ705">
    <cfRule type="cellIs" dxfId="2722" priority="2723" stopIfTrue="1" operator="lessThan">
      <formula>0.001</formula>
    </cfRule>
  </conditionalFormatting>
  <conditionalFormatting sqref="BJ707:BJ709">
    <cfRule type="cellIs" dxfId="2721" priority="2722" stopIfTrue="1" operator="lessThan">
      <formula>0.001</formula>
    </cfRule>
  </conditionalFormatting>
  <conditionalFormatting sqref="BJ706">
    <cfRule type="cellIs" dxfId="2720" priority="2721" stopIfTrue="1" operator="lessThan">
      <formula>0.001</formula>
    </cfRule>
  </conditionalFormatting>
  <conditionalFormatting sqref="BJ710">
    <cfRule type="cellIs" dxfId="2719" priority="2720" stopIfTrue="1" operator="lessThan">
      <formula>0.001</formula>
    </cfRule>
  </conditionalFormatting>
  <conditionalFormatting sqref="BJ711:BJ716">
    <cfRule type="cellIs" dxfId="2718" priority="2719" stopIfTrue="1" operator="lessThan">
      <formula>0.001</formula>
    </cfRule>
  </conditionalFormatting>
  <conditionalFormatting sqref="BJ717">
    <cfRule type="cellIs" dxfId="2717" priority="2718" stopIfTrue="1" operator="lessThan">
      <formula>0.001</formula>
    </cfRule>
  </conditionalFormatting>
  <conditionalFormatting sqref="BJ718:BJ720">
    <cfRule type="cellIs" dxfId="2716" priority="2717" stopIfTrue="1" operator="lessThan">
      <formula>0.001</formula>
    </cfRule>
  </conditionalFormatting>
  <conditionalFormatting sqref="BJ721">
    <cfRule type="cellIs" dxfId="2715" priority="2716" stopIfTrue="1" operator="lessThan">
      <formula>0.001</formula>
    </cfRule>
  </conditionalFormatting>
  <conditionalFormatting sqref="BJ722:BJ724">
    <cfRule type="cellIs" dxfId="2714" priority="2715" stopIfTrue="1" operator="lessThan">
      <formula>0.001</formula>
    </cfRule>
  </conditionalFormatting>
  <conditionalFormatting sqref="BJ725">
    <cfRule type="cellIs" dxfId="2713" priority="2714" stopIfTrue="1" operator="lessThan">
      <formula>0.001</formula>
    </cfRule>
  </conditionalFormatting>
  <conditionalFormatting sqref="BJ726">
    <cfRule type="cellIs" dxfId="2712" priority="2713" stopIfTrue="1" operator="lessThan">
      <formula>0.001</formula>
    </cfRule>
  </conditionalFormatting>
  <conditionalFormatting sqref="BJ727">
    <cfRule type="cellIs" dxfId="2711" priority="2712" stopIfTrue="1" operator="lessThan">
      <formula>0.001</formula>
    </cfRule>
  </conditionalFormatting>
  <conditionalFormatting sqref="BJ728:BJ730">
    <cfRule type="cellIs" dxfId="2710" priority="2711" stopIfTrue="1" operator="lessThan">
      <formula>0.001</formula>
    </cfRule>
  </conditionalFormatting>
  <conditionalFormatting sqref="BJ731">
    <cfRule type="cellIs" dxfId="2709" priority="2710" stopIfTrue="1" operator="lessThan">
      <formula>0.001</formula>
    </cfRule>
  </conditionalFormatting>
  <conditionalFormatting sqref="BJ732">
    <cfRule type="cellIs" dxfId="2708" priority="2709" stopIfTrue="1" operator="lessThan">
      <formula>0.001</formula>
    </cfRule>
  </conditionalFormatting>
  <conditionalFormatting sqref="BJ733">
    <cfRule type="cellIs" dxfId="2707" priority="2708" stopIfTrue="1" operator="lessThan">
      <formula>0.001</formula>
    </cfRule>
  </conditionalFormatting>
  <conditionalFormatting sqref="BJ734:BJ735">
    <cfRule type="cellIs" dxfId="2706" priority="2707" stopIfTrue="1" operator="lessThan">
      <formula>0.001</formula>
    </cfRule>
  </conditionalFormatting>
  <conditionalFormatting sqref="BJ736">
    <cfRule type="cellIs" dxfId="2705" priority="2706" stopIfTrue="1" operator="lessThan">
      <formula>0.001</formula>
    </cfRule>
  </conditionalFormatting>
  <conditionalFormatting sqref="BJ737:BJ739">
    <cfRule type="cellIs" dxfId="2704" priority="2705" stopIfTrue="1" operator="lessThan">
      <formula>0.001</formula>
    </cfRule>
  </conditionalFormatting>
  <conditionalFormatting sqref="BJ681">
    <cfRule type="cellIs" dxfId="2703" priority="2704" stopIfTrue="1" operator="lessThan">
      <formula>0.001</formula>
    </cfRule>
  </conditionalFormatting>
  <conditionalFormatting sqref="BJ682">
    <cfRule type="cellIs" dxfId="2702" priority="2703" stopIfTrue="1" operator="lessThan">
      <formula>0.001</formula>
    </cfRule>
  </conditionalFormatting>
  <conditionalFormatting sqref="BJ683:BJ690">
    <cfRule type="cellIs" dxfId="2701" priority="2702" stopIfTrue="1" operator="lessThan">
      <formula>0.001</formula>
    </cfRule>
  </conditionalFormatting>
  <conditionalFormatting sqref="BJ691">
    <cfRule type="cellIs" dxfId="2700" priority="2701" stopIfTrue="1" operator="lessThan">
      <formula>0.001</formula>
    </cfRule>
  </conditionalFormatting>
  <conditionalFormatting sqref="BJ694">
    <cfRule type="cellIs" dxfId="2699" priority="2700" stopIfTrue="1" operator="lessThan">
      <formula>0.001</formula>
    </cfRule>
  </conditionalFormatting>
  <conditionalFormatting sqref="BJ695">
    <cfRule type="cellIs" dxfId="2698" priority="2699" stopIfTrue="1" operator="lessThan">
      <formula>0.001</formula>
    </cfRule>
  </conditionalFormatting>
  <conditionalFormatting sqref="BJ698">
    <cfRule type="cellIs" dxfId="2697" priority="2698" stopIfTrue="1" operator="lessThan">
      <formula>0.001</formula>
    </cfRule>
  </conditionalFormatting>
  <conditionalFormatting sqref="BJ699">
    <cfRule type="cellIs" dxfId="2696" priority="2697" stopIfTrue="1" operator="lessThan">
      <formula>0.001</formula>
    </cfRule>
  </conditionalFormatting>
  <conditionalFormatting sqref="BJ700">
    <cfRule type="cellIs" dxfId="2695" priority="2696" stopIfTrue="1" operator="lessThan">
      <formula>0.001</formula>
    </cfRule>
  </conditionalFormatting>
  <conditionalFormatting sqref="BJ701:BJ703">
    <cfRule type="cellIs" dxfId="2694" priority="2695" stopIfTrue="1" operator="lessThan">
      <formula>0.001</formula>
    </cfRule>
  </conditionalFormatting>
  <conditionalFormatting sqref="BJ704">
    <cfRule type="cellIs" dxfId="2693" priority="2694" stopIfTrue="1" operator="lessThan">
      <formula>0.001</formula>
    </cfRule>
  </conditionalFormatting>
  <conditionalFormatting sqref="BJ705">
    <cfRule type="cellIs" dxfId="2692" priority="2693" stopIfTrue="1" operator="lessThan">
      <formula>0.001</formula>
    </cfRule>
  </conditionalFormatting>
  <conditionalFormatting sqref="BJ707:BJ709">
    <cfRule type="cellIs" dxfId="2691" priority="2692" stopIfTrue="1" operator="lessThan">
      <formula>0.001</formula>
    </cfRule>
  </conditionalFormatting>
  <conditionalFormatting sqref="BJ706">
    <cfRule type="cellIs" dxfId="2690" priority="2691" stopIfTrue="1" operator="lessThan">
      <formula>0.001</formula>
    </cfRule>
  </conditionalFormatting>
  <conditionalFormatting sqref="BJ710">
    <cfRule type="cellIs" dxfId="2689" priority="2690" stopIfTrue="1" operator="lessThan">
      <formula>0.001</formula>
    </cfRule>
  </conditionalFormatting>
  <conditionalFormatting sqref="BJ711:BJ716">
    <cfRule type="cellIs" dxfId="2688" priority="2689" stopIfTrue="1" operator="lessThan">
      <formula>0.001</formula>
    </cfRule>
  </conditionalFormatting>
  <conditionalFormatting sqref="BJ717">
    <cfRule type="cellIs" dxfId="2687" priority="2688" stopIfTrue="1" operator="lessThan">
      <formula>0.001</formula>
    </cfRule>
  </conditionalFormatting>
  <conditionalFormatting sqref="BJ718:BJ720">
    <cfRule type="cellIs" dxfId="2686" priority="2687" stopIfTrue="1" operator="lessThan">
      <formula>0.001</formula>
    </cfRule>
  </conditionalFormatting>
  <conditionalFormatting sqref="BJ721">
    <cfRule type="cellIs" dxfId="2685" priority="2686" stopIfTrue="1" operator="lessThan">
      <formula>0.001</formula>
    </cfRule>
  </conditionalFormatting>
  <conditionalFormatting sqref="BJ722:BJ724">
    <cfRule type="cellIs" dxfId="2684" priority="2685" stopIfTrue="1" operator="lessThan">
      <formula>0.001</formula>
    </cfRule>
  </conditionalFormatting>
  <conditionalFormatting sqref="BJ725">
    <cfRule type="cellIs" dxfId="2683" priority="2684" stopIfTrue="1" operator="lessThan">
      <formula>0.001</formula>
    </cfRule>
  </conditionalFormatting>
  <conditionalFormatting sqref="BJ726">
    <cfRule type="cellIs" dxfId="2682" priority="2683" stopIfTrue="1" operator="lessThan">
      <formula>0.001</formula>
    </cfRule>
  </conditionalFormatting>
  <conditionalFormatting sqref="BJ727">
    <cfRule type="cellIs" dxfId="2681" priority="2682" stopIfTrue="1" operator="lessThan">
      <formula>0.001</formula>
    </cfRule>
  </conditionalFormatting>
  <conditionalFormatting sqref="BJ728:BJ730">
    <cfRule type="cellIs" dxfId="2680" priority="2681" stopIfTrue="1" operator="lessThan">
      <formula>0.001</formula>
    </cfRule>
  </conditionalFormatting>
  <conditionalFormatting sqref="BJ731">
    <cfRule type="cellIs" dxfId="2679" priority="2680" stopIfTrue="1" operator="lessThan">
      <formula>0.001</formula>
    </cfRule>
  </conditionalFormatting>
  <conditionalFormatting sqref="BJ732">
    <cfRule type="cellIs" dxfId="2678" priority="2679" stopIfTrue="1" operator="lessThan">
      <formula>0.001</formula>
    </cfRule>
  </conditionalFormatting>
  <conditionalFormatting sqref="BJ733">
    <cfRule type="cellIs" dxfId="2677" priority="2678" stopIfTrue="1" operator="lessThan">
      <formula>0.001</formula>
    </cfRule>
  </conditionalFormatting>
  <conditionalFormatting sqref="BJ734:BJ735">
    <cfRule type="cellIs" dxfId="2676" priority="2677" stopIfTrue="1" operator="lessThan">
      <formula>0.001</formula>
    </cfRule>
  </conditionalFormatting>
  <conditionalFormatting sqref="BJ736">
    <cfRule type="cellIs" dxfId="2675" priority="2676" stopIfTrue="1" operator="lessThan">
      <formula>0.001</formula>
    </cfRule>
  </conditionalFormatting>
  <conditionalFormatting sqref="BJ737:BJ739">
    <cfRule type="cellIs" dxfId="2674" priority="2675" stopIfTrue="1" operator="lessThan">
      <formula>0.001</formula>
    </cfRule>
  </conditionalFormatting>
  <conditionalFormatting sqref="BJ681">
    <cfRule type="cellIs" dxfId="2673" priority="2674" stopIfTrue="1" operator="lessThan">
      <formula>0.001</formula>
    </cfRule>
  </conditionalFormatting>
  <conditionalFormatting sqref="BJ682">
    <cfRule type="cellIs" dxfId="2672" priority="2673" stopIfTrue="1" operator="lessThan">
      <formula>0.001</formula>
    </cfRule>
  </conditionalFormatting>
  <conditionalFormatting sqref="BJ683:BJ690">
    <cfRule type="cellIs" dxfId="2671" priority="2672" stopIfTrue="1" operator="lessThan">
      <formula>0.001</formula>
    </cfRule>
  </conditionalFormatting>
  <conditionalFormatting sqref="BJ691">
    <cfRule type="cellIs" dxfId="2670" priority="2671" stopIfTrue="1" operator="lessThan">
      <formula>0.001</formula>
    </cfRule>
  </conditionalFormatting>
  <conditionalFormatting sqref="BJ694">
    <cfRule type="cellIs" dxfId="2669" priority="2670" stopIfTrue="1" operator="lessThan">
      <formula>0.001</formula>
    </cfRule>
  </conditionalFormatting>
  <conditionalFormatting sqref="BJ695">
    <cfRule type="cellIs" dxfId="2668" priority="2669" stopIfTrue="1" operator="lessThan">
      <formula>0.001</formula>
    </cfRule>
  </conditionalFormatting>
  <conditionalFormatting sqref="BJ698">
    <cfRule type="cellIs" dxfId="2667" priority="2668" stopIfTrue="1" operator="lessThan">
      <formula>0.001</formula>
    </cfRule>
  </conditionalFormatting>
  <conditionalFormatting sqref="BJ699">
    <cfRule type="cellIs" dxfId="2666" priority="2667" stopIfTrue="1" operator="lessThan">
      <formula>0.001</formula>
    </cfRule>
  </conditionalFormatting>
  <conditionalFormatting sqref="BJ700">
    <cfRule type="cellIs" dxfId="2665" priority="2666" stopIfTrue="1" operator="lessThan">
      <formula>0.001</formula>
    </cfRule>
  </conditionalFormatting>
  <conditionalFormatting sqref="BJ701:BJ703">
    <cfRule type="cellIs" dxfId="2664" priority="2665" stopIfTrue="1" operator="lessThan">
      <formula>0.001</formula>
    </cfRule>
  </conditionalFormatting>
  <conditionalFormatting sqref="BJ704">
    <cfRule type="cellIs" dxfId="2663" priority="2664" stopIfTrue="1" operator="lessThan">
      <formula>0.001</formula>
    </cfRule>
  </conditionalFormatting>
  <conditionalFormatting sqref="BJ705">
    <cfRule type="cellIs" dxfId="2662" priority="2663" stopIfTrue="1" operator="lessThan">
      <formula>0.001</formula>
    </cfRule>
  </conditionalFormatting>
  <conditionalFormatting sqref="BJ707:BJ709">
    <cfRule type="cellIs" dxfId="2661" priority="2662" stopIfTrue="1" operator="lessThan">
      <formula>0.001</formula>
    </cfRule>
  </conditionalFormatting>
  <conditionalFormatting sqref="BJ706">
    <cfRule type="cellIs" dxfId="2660" priority="2661" stopIfTrue="1" operator="lessThan">
      <formula>0.001</formula>
    </cfRule>
  </conditionalFormatting>
  <conditionalFormatting sqref="BJ710">
    <cfRule type="cellIs" dxfId="2659" priority="2660" stopIfTrue="1" operator="lessThan">
      <formula>0.001</formula>
    </cfRule>
  </conditionalFormatting>
  <conditionalFormatting sqref="BJ711:BJ716">
    <cfRule type="cellIs" dxfId="2658" priority="2659" stopIfTrue="1" operator="lessThan">
      <formula>0.001</formula>
    </cfRule>
  </conditionalFormatting>
  <conditionalFormatting sqref="BJ717">
    <cfRule type="cellIs" dxfId="2657" priority="2658" stopIfTrue="1" operator="lessThan">
      <formula>0.001</formula>
    </cfRule>
  </conditionalFormatting>
  <conditionalFormatting sqref="BJ718:BJ720">
    <cfRule type="cellIs" dxfId="2656" priority="2657" stopIfTrue="1" operator="lessThan">
      <formula>0.001</formula>
    </cfRule>
  </conditionalFormatting>
  <conditionalFormatting sqref="BJ721">
    <cfRule type="cellIs" dxfId="2655" priority="2656" stopIfTrue="1" operator="lessThan">
      <formula>0.001</formula>
    </cfRule>
  </conditionalFormatting>
  <conditionalFormatting sqref="BJ722:BJ724">
    <cfRule type="cellIs" dxfId="2654" priority="2655" stopIfTrue="1" operator="lessThan">
      <formula>0.001</formula>
    </cfRule>
  </conditionalFormatting>
  <conditionalFormatting sqref="BJ725">
    <cfRule type="cellIs" dxfId="2653" priority="2654" stopIfTrue="1" operator="lessThan">
      <formula>0.001</formula>
    </cfRule>
  </conditionalFormatting>
  <conditionalFormatting sqref="BJ726">
    <cfRule type="cellIs" dxfId="2652" priority="2653" stopIfTrue="1" operator="lessThan">
      <formula>0.001</formula>
    </cfRule>
  </conditionalFormatting>
  <conditionalFormatting sqref="BJ727">
    <cfRule type="cellIs" dxfId="2651" priority="2652" stopIfTrue="1" operator="lessThan">
      <formula>0.001</formula>
    </cfRule>
  </conditionalFormatting>
  <conditionalFormatting sqref="BJ728:BJ730">
    <cfRule type="cellIs" dxfId="2650" priority="2651" stopIfTrue="1" operator="lessThan">
      <formula>0.001</formula>
    </cfRule>
  </conditionalFormatting>
  <conditionalFormatting sqref="BJ731">
    <cfRule type="cellIs" dxfId="2649" priority="2650" stopIfTrue="1" operator="lessThan">
      <formula>0.001</formula>
    </cfRule>
  </conditionalFormatting>
  <conditionalFormatting sqref="BJ732">
    <cfRule type="cellIs" dxfId="2648" priority="2649" stopIfTrue="1" operator="lessThan">
      <formula>0.001</formula>
    </cfRule>
  </conditionalFormatting>
  <conditionalFormatting sqref="BJ733">
    <cfRule type="cellIs" dxfId="2647" priority="2648" stopIfTrue="1" operator="lessThan">
      <formula>0.001</formula>
    </cfRule>
  </conditionalFormatting>
  <conditionalFormatting sqref="BJ734:BJ735">
    <cfRule type="cellIs" dxfId="2646" priority="2647" stopIfTrue="1" operator="lessThan">
      <formula>0.001</formula>
    </cfRule>
  </conditionalFormatting>
  <conditionalFormatting sqref="BJ736">
    <cfRule type="cellIs" dxfId="2645" priority="2646" stopIfTrue="1" operator="lessThan">
      <formula>0.001</formula>
    </cfRule>
  </conditionalFormatting>
  <conditionalFormatting sqref="BJ737:BJ739">
    <cfRule type="cellIs" dxfId="2644" priority="2645" stopIfTrue="1" operator="lessThan">
      <formula>0.001</formula>
    </cfRule>
  </conditionalFormatting>
  <conditionalFormatting sqref="BM681">
    <cfRule type="cellIs" dxfId="2643" priority="2644" stopIfTrue="1" operator="lessThan">
      <formula>0.001</formula>
    </cfRule>
  </conditionalFormatting>
  <conditionalFormatting sqref="BM682">
    <cfRule type="cellIs" dxfId="2642" priority="2643" stopIfTrue="1" operator="lessThan">
      <formula>0.001</formula>
    </cfRule>
  </conditionalFormatting>
  <conditionalFormatting sqref="BM683:BM690">
    <cfRule type="cellIs" dxfId="2641" priority="2642" stopIfTrue="1" operator="lessThan">
      <formula>0.001</formula>
    </cfRule>
  </conditionalFormatting>
  <conditionalFormatting sqref="BM691">
    <cfRule type="cellIs" dxfId="2640" priority="2641" stopIfTrue="1" operator="lessThan">
      <formula>0.001</formula>
    </cfRule>
  </conditionalFormatting>
  <conditionalFormatting sqref="BM694">
    <cfRule type="cellIs" dxfId="2639" priority="2640" stopIfTrue="1" operator="lessThan">
      <formula>0.001</formula>
    </cfRule>
  </conditionalFormatting>
  <conditionalFormatting sqref="BM695">
    <cfRule type="cellIs" dxfId="2638" priority="2639" stopIfTrue="1" operator="lessThan">
      <formula>0.001</formula>
    </cfRule>
  </conditionalFormatting>
  <conditionalFormatting sqref="BM698">
    <cfRule type="cellIs" dxfId="2637" priority="2638" stopIfTrue="1" operator="lessThan">
      <formula>0.001</formula>
    </cfRule>
  </conditionalFormatting>
  <conditionalFormatting sqref="BM699">
    <cfRule type="cellIs" dxfId="2636" priority="2637" stopIfTrue="1" operator="lessThan">
      <formula>0.001</formula>
    </cfRule>
  </conditionalFormatting>
  <conditionalFormatting sqref="BM700">
    <cfRule type="cellIs" dxfId="2635" priority="2636" stopIfTrue="1" operator="lessThan">
      <formula>0.001</formula>
    </cfRule>
  </conditionalFormatting>
  <conditionalFormatting sqref="BM701:BM703">
    <cfRule type="cellIs" dxfId="2634" priority="2635" stopIfTrue="1" operator="lessThan">
      <formula>0.001</formula>
    </cfRule>
  </conditionalFormatting>
  <conditionalFormatting sqref="BM704">
    <cfRule type="cellIs" dxfId="2633" priority="2634" stopIfTrue="1" operator="lessThan">
      <formula>0.001</formula>
    </cfRule>
  </conditionalFormatting>
  <conditionalFormatting sqref="BM705">
    <cfRule type="cellIs" dxfId="2632" priority="2633" stopIfTrue="1" operator="lessThan">
      <formula>0.001</formula>
    </cfRule>
  </conditionalFormatting>
  <conditionalFormatting sqref="BM707:BM709">
    <cfRule type="cellIs" dxfId="2631" priority="2632" stopIfTrue="1" operator="lessThan">
      <formula>0.001</formula>
    </cfRule>
  </conditionalFormatting>
  <conditionalFormatting sqref="BM706">
    <cfRule type="cellIs" dxfId="2630" priority="2631" stopIfTrue="1" operator="lessThan">
      <formula>0.001</formula>
    </cfRule>
  </conditionalFormatting>
  <conditionalFormatting sqref="BM710">
    <cfRule type="cellIs" dxfId="2629" priority="2630" stopIfTrue="1" operator="lessThan">
      <formula>0.001</formula>
    </cfRule>
  </conditionalFormatting>
  <conditionalFormatting sqref="BM711:BM716">
    <cfRule type="cellIs" dxfId="2628" priority="2629" stopIfTrue="1" operator="lessThan">
      <formula>0.001</formula>
    </cfRule>
  </conditionalFormatting>
  <conditionalFormatting sqref="BM717">
    <cfRule type="cellIs" dxfId="2627" priority="2628" stopIfTrue="1" operator="lessThan">
      <formula>0.001</formula>
    </cfRule>
  </conditionalFormatting>
  <conditionalFormatting sqref="BM718:BM720">
    <cfRule type="cellIs" dxfId="2626" priority="2627" stopIfTrue="1" operator="lessThan">
      <formula>0.001</formula>
    </cfRule>
  </conditionalFormatting>
  <conditionalFormatting sqref="BM721">
    <cfRule type="cellIs" dxfId="2625" priority="2626" stopIfTrue="1" operator="lessThan">
      <formula>0.001</formula>
    </cfRule>
  </conditionalFormatting>
  <conditionalFormatting sqref="BM722:BM724">
    <cfRule type="cellIs" dxfId="2624" priority="2625" stopIfTrue="1" operator="lessThan">
      <formula>0.001</formula>
    </cfRule>
  </conditionalFormatting>
  <conditionalFormatting sqref="BM725">
    <cfRule type="cellIs" dxfId="2623" priority="2624" stopIfTrue="1" operator="lessThan">
      <formula>0.001</formula>
    </cfRule>
  </conditionalFormatting>
  <conditionalFormatting sqref="BM726">
    <cfRule type="cellIs" dxfId="2622" priority="2623" stopIfTrue="1" operator="lessThan">
      <formula>0.001</formula>
    </cfRule>
  </conditionalFormatting>
  <conditionalFormatting sqref="BM727">
    <cfRule type="cellIs" dxfId="2621" priority="2622" stopIfTrue="1" operator="lessThan">
      <formula>0.001</formula>
    </cfRule>
  </conditionalFormatting>
  <conditionalFormatting sqref="BM728:BM730">
    <cfRule type="cellIs" dxfId="2620" priority="2621" stopIfTrue="1" operator="lessThan">
      <formula>0.001</formula>
    </cfRule>
  </conditionalFormatting>
  <conditionalFormatting sqref="BM731">
    <cfRule type="cellIs" dxfId="2619" priority="2620" stopIfTrue="1" operator="lessThan">
      <formula>0.001</formula>
    </cfRule>
  </conditionalFormatting>
  <conditionalFormatting sqref="BM732">
    <cfRule type="cellIs" dxfId="2618" priority="2619" stopIfTrue="1" operator="lessThan">
      <formula>0.001</formula>
    </cfRule>
  </conditionalFormatting>
  <conditionalFormatting sqref="BM733">
    <cfRule type="cellIs" dxfId="2617" priority="2618" stopIfTrue="1" operator="lessThan">
      <formula>0.001</formula>
    </cfRule>
  </conditionalFormatting>
  <conditionalFormatting sqref="BM734:BM735">
    <cfRule type="cellIs" dxfId="2616" priority="2617" stopIfTrue="1" operator="lessThan">
      <formula>0.001</formula>
    </cfRule>
  </conditionalFormatting>
  <conditionalFormatting sqref="BM736">
    <cfRule type="cellIs" dxfId="2615" priority="2616" stopIfTrue="1" operator="lessThan">
      <formula>0.001</formula>
    </cfRule>
  </conditionalFormatting>
  <conditionalFormatting sqref="BM737:BM739">
    <cfRule type="cellIs" dxfId="2614" priority="2615" stopIfTrue="1" operator="lessThan">
      <formula>0.001</formula>
    </cfRule>
  </conditionalFormatting>
  <conditionalFormatting sqref="BN681">
    <cfRule type="cellIs" dxfId="2613" priority="2614" stopIfTrue="1" operator="lessThan">
      <formula>0.001</formula>
    </cfRule>
  </conditionalFormatting>
  <conditionalFormatting sqref="BN682">
    <cfRule type="cellIs" dxfId="2612" priority="2613" stopIfTrue="1" operator="lessThan">
      <formula>0.001</formula>
    </cfRule>
  </conditionalFormatting>
  <conditionalFormatting sqref="BN683:BN690">
    <cfRule type="cellIs" dxfId="2611" priority="2612" stopIfTrue="1" operator="lessThan">
      <formula>0.001</formula>
    </cfRule>
  </conditionalFormatting>
  <conditionalFormatting sqref="BN691">
    <cfRule type="cellIs" dxfId="2610" priority="2611" stopIfTrue="1" operator="lessThan">
      <formula>0.001</formula>
    </cfRule>
  </conditionalFormatting>
  <conditionalFormatting sqref="BN694">
    <cfRule type="cellIs" dxfId="2609" priority="2610" stopIfTrue="1" operator="lessThan">
      <formula>0.001</formula>
    </cfRule>
  </conditionalFormatting>
  <conditionalFormatting sqref="BN695">
    <cfRule type="cellIs" dxfId="2608" priority="2609" stopIfTrue="1" operator="lessThan">
      <formula>0.001</formula>
    </cfRule>
  </conditionalFormatting>
  <conditionalFormatting sqref="BN698">
    <cfRule type="cellIs" dxfId="2607" priority="2608" stopIfTrue="1" operator="lessThan">
      <formula>0.001</formula>
    </cfRule>
  </conditionalFormatting>
  <conditionalFormatting sqref="BN699">
    <cfRule type="cellIs" dxfId="2606" priority="2607" stopIfTrue="1" operator="lessThan">
      <formula>0.001</formula>
    </cfRule>
  </conditionalFormatting>
  <conditionalFormatting sqref="BN700">
    <cfRule type="cellIs" dxfId="2605" priority="2606" stopIfTrue="1" operator="lessThan">
      <formula>0.001</formula>
    </cfRule>
  </conditionalFormatting>
  <conditionalFormatting sqref="BN701:BN703">
    <cfRule type="cellIs" dxfId="2604" priority="2605" stopIfTrue="1" operator="lessThan">
      <formula>0.001</formula>
    </cfRule>
  </conditionalFormatting>
  <conditionalFormatting sqref="BN704">
    <cfRule type="cellIs" dxfId="2603" priority="2604" stopIfTrue="1" operator="lessThan">
      <formula>0.001</formula>
    </cfRule>
  </conditionalFormatting>
  <conditionalFormatting sqref="BN705">
    <cfRule type="cellIs" dxfId="2602" priority="2603" stopIfTrue="1" operator="lessThan">
      <formula>0.001</formula>
    </cfRule>
  </conditionalFormatting>
  <conditionalFormatting sqref="BN707:BN709">
    <cfRule type="cellIs" dxfId="2601" priority="2602" stopIfTrue="1" operator="lessThan">
      <formula>0.001</formula>
    </cfRule>
  </conditionalFormatting>
  <conditionalFormatting sqref="BN706">
    <cfRule type="cellIs" dxfId="2600" priority="2601" stopIfTrue="1" operator="lessThan">
      <formula>0.001</formula>
    </cfRule>
  </conditionalFormatting>
  <conditionalFormatting sqref="BN710">
    <cfRule type="cellIs" dxfId="2599" priority="2600" stopIfTrue="1" operator="lessThan">
      <formula>0.001</formula>
    </cfRule>
  </conditionalFormatting>
  <conditionalFormatting sqref="BN711:BN716">
    <cfRule type="cellIs" dxfId="2598" priority="2599" stopIfTrue="1" operator="lessThan">
      <formula>0.001</formula>
    </cfRule>
  </conditionalFormatting>
  <conditionalFormatting sqref="BN717">
    <cfRule type="cellIs" dxfId="2597" priority="2598" stopIfTrue="1" operator="lessThan">
      <formula>0.001</formula>
    </cfRule>
  </conditionalFormatting>
  <conditionalFormatting sqref="BN718:BN720">
    <cfRule type="cellIs" dxfId="2596" priority="2597" stopIfTrue="1" operator="lessThan">
      <formula>0.001</formula>
    </cfRule>
  </conditionalFormatting>
  <conditionalFormatting sqref="BN721">
    <cfRule type="cellIs" dxfId="2595" priority="2596" stopIfTrue="1" operator="lessThan">
      <formula>0.001</formula>
    </cfRule>
  </conditionalFormatting>
  <conditionalFormatting sqref="BN722:BN724">
    <cfRule type="cellIs" dxfId="2594" priority="2595" stopIfTrue="1" operator="lessThan">
      <formula>0.001</formula>
    </cfRule>
  </conditionalFormatting>
  <conditionalFormatting sqref="BN725">
    <cfRule type="cellIs" dxfId="2593" priority="2594" stopIfTrue="1" operator="lessThan">
      <formula>0.001</formula>
    </cfRule>
  </conditionalFormatting>
  <conditionalFormatting sqref="BN726">
    <cfRule type="cellIs" dxfId="2592" priority="2593" stopIfTrue="1" operator="lessThan">
      <formula>0.001</formula>
    </cfRule>
  </conditionalFormatting>
  <conditionalFormatting sqref="BN727">
    <cfRule type="cellIs" dxfId="2591" priority="2592" stopIfTrue="1" operator="lessThan">
      <formula>0.001</formula>
    </cfRule>
  </conditionalFormatting>
  <conditionalFormatting sqref="BN728:BN730">
    <cfRule type="cellIs" dxfId="2590" priority="2591" stopIfTrue="1" operator="lessThan">
      <formula>0.001</formula>
    </cfRule>
  </conditionalFormatting>
  <conditionalFormatting sqref="BN731">
    <cfRule type="cellIs" dxfId="2589" priority="2590" stopIfTrue="1" operator="lessThan">
      <formula>0.001</formula>
    </cfRule>
  </conditionalFormatting>
  <conditionalFormatting sqref="BN732">
    <cfRule type="cellIs" dxfId="2588" priority="2589" stopIfTrue="1" operator="lessThan">
      <formula>0.001</formula>
    </cfRule>
  </conditionalFormatting>
  <conditionalFormatting sqref="BN733">
    <cfRule type="cellIs" dxfId="2587" priority="2588" stopIfTrue="1" operator="lessThan">
      <formula>0.001</formula>
    </cfRule>
  </conditionalFormatting>
  <conditionalFormatting sqref="BN734:BN735">
    <cfRule type="cellIs" dxfId="2586" priority="2587" stopIfTrue="1" operator="lessThan">
      <formula>0.001</formula>
    </cfRule>
  </conditionalFormatting>
  <conditionalFormatting sqref="BN736">
    <cfRule type="cellIs" dxfId="2585" priority="2586" stopIfTrue="1" operator="lessThan">
      <formula>0.001</formula>
    </cfRule>
  </conditionalFormatting>
  <conditionalFormatting sqref="BN737:BN739">
    <cfRule type="cellIs" dxfId="2584" priority="2585" stopIfTrue="1" operator="lessThan">
      <formula>0.001</formula>
    </cfRule>
  </conditionalFormatting>
  <conditionalFormatting sqref="BM681">
    <cfRule type="cellIs" dxfId="2583" priority="2584" stopIfTrue="1" operator="lessThan">
      <formula>0.001</formula>
    </cfRule>
  </conditionalFormatting>
  <conditionalFormatting sqref="BM682">
    <cfRule type="cellIs" dxfId="2582" priority="2583" stopIfTrue="1" operator="lessThan">
      <formula>0.001</formula>
    </cfRule>
  </conditionalFormatting>
  <conditionalFormatting sqref="BM683:BM690">
    <cfRule type="cellIs" dxfId="2581" priority="2582" stopIfTrue="1" operator="lessThan">
      <formula>0.001</formula>
    </cfRule>
  </conditionalFormatting>
  <conditionalFormatting sqref="BM691">
    <cfRule type="cellIs" dxfId="2580" priority="2581" stopIfTrue="1" operator="lessThan">
      <formula>0.001</formula>
    </cfRule>
  </conditionalFormatting>
  <conditionalFormatting sqref="BM694">
    <cfRule type="cellIs" dxfId="2579" priority="2580" stopIfTrue="1" operator="lessThan">
      <formula>0.001</formula>
    </cfRule>
  </conditionalFormatting>
  <conditionalFormatting sqref="BM695">
    <cfRule type="cellIs" dxfId="2578" priority="2579" stopIfTrue="1" operator="lessThan">
      <formula>0.001</formula>
    </cfRule>
  </conditionalFormatting>
  <conditionalFormatting sqref="BM698">
    <cfRule type="cellIs" dxfId="2577" priority="2578" stopIfTrue="1" operator="lessThan">
      <formula>0.001</formula>
    </cfRule>
  </conditionalFormatting>
  <conditionalFormatting sqref="BM699">
    <cfRule type="cellIs" dxfId="2576" priority="2577" stopIfTrue="1" operator="lessThan">
      <formula>0.001</formula>
    </cfRule>
  </conditionalFormatting>
  <conditionalFormatting sqref="BM700">
    <cfRule type="cellIs" dxfId="2575" priority="2576" stopIfTrue="1" operator="lessThan">
      <formula>0.001</formula>
    </cfRule>
  </conditionalFormatting>
  <conditionalFormatting sqref="BM701:BM703">
    <cfRule type="cellIs" dxfId="2574" priority="2575" stopIfTrue="1" operator="lessThan">
      <formula>0.001</formula>
    </cfRule>
  </conditionalFormatting>
  <conditionalFormatting sqref="BM704">
    <cfRule type="cellIs" dxfId="2573" priority="2574" stopIfTrue="1" operator="lessThan">
      <formula>0.001</formula>
    </cfRule>
  </conditionalFormatting>
  <conditionalFormatting sqref="BM705">
    <cfRule type="cellIs" dxfId="2572" priority="2573" stopIfTrue="1" operator="lessThan">
      <formula>0.001</formula>
    </cfRule>
  </conditionalFormatting>
  <conditionalFormatting sqref="BM707:BM709">
    <cfRule type="cellIs" dxfId="2571" priority="2572" stopIfTrue="1" operator="lessThan">
      <formula>0.001</formula>
    </cfRule>
  </conditionalFormatting>
  <conditionalFormatting sqref="BM706">
    <cfRule type="cellIs" dxfId="2570" priority="2571" stopIfTrue="1" operator="lessThan">
      <formula>0.001</formula>
    </cfRule>
  </conditionalFormatting>
  <conditionalFormatting sqref="BM710">
    <cfRule type="cellIs" dxfId="2569" priority="2570" stopIfTrue="1" operator="lessThan">
      <formula>0.001</formula>
    </cfRule>
  </conditionalFormatting>
  <conditionalFormatting sqref="BM711:BM716">
    <cfRule type="cellIs" dxfId="2568" priority="2569" stopIfTrue="1" operator="lessThan">
      <formula>0.001</formula>
    </cfRule>
  </conditionalFormatting>
  <conditionalFormatting sqref="BM717">
    <cfRule type="cellIs" dxfId="2567" priority="2568" stopIfTrue="1" operator="lessThan">
      <formula>0.001</formula>
    </cfRule>
  </conditionalFormatting>
  <conditionalFormatting sqref="BM718:BM720">
    <cfRule type="cellIs" dxfId="2566" priority="2567" stopIfTrue="1" operator="lessThan">
      <formula>0.001</formula>
    </cfRule>
  </conditionalFormatting>
  <conditionalFormatting sqref="BM721">
    <cfRule type="cellIs" dxfId="2565" priority="2566" stopIfTrue="1" operator="lessThan">
      <formula>0.001</formula>
    </cfRule>
  </conditionalFormatting>
  <conditionalFormatting sqref="BM722:BM724">
    <cfRule type="cellIs" dxfId="2564" priority="2565" stopIfTrue="1" operator="lessThan">
      <formula>0.001</formula>
    </cfRule>
  </conditionalFormatting>
  <conditionalFormatting sqref="BM725">
    <cfRule type="cellIs" dxfId="2563" priority="2564" stopIfTrue="1" operator="lessThan">
      <formula>0.001</formula>
    </cfRule>
  </conditionalFormatting>
  <conditionalFormatting sqref="BM726">
    <cfRule type="cellIs" dxfId="2562" priority="2563" stopIfTrue="1" operator="lessThan">
      <formula>0.001</formula>
    </cfRule>
  </conditionalFormatting>
  <conditionalFormatting sqref="BM727">
    <cfRule type="cellIs" dxfId="2561" priority="2562" stopIfTrue="1" operator="lessThan">
      <formula>0.001</formula>
    </cfRule>
  </conditionalFormatting>
  <conditionalFormatting sqref="BM728:BM730">
    <cfRule type="cellIs" dxfId="2560" priority="2561" stopIfTrue="1" operator="lessThan">
      <formula>0.001</formula>
    </cfRule>
  </conditionalFormatting>
  <conditionalFormatting sqref="BM731">
    <cfRule type="cellIs" dxfId="2559" priority="2560" stopIfTrue="1" operator="lessThan">
      <formula>0.001</formula>
    </cfRule>
  </conditionalFormatting>
  <conditionalFormatting sqref="BM732">
    <cfRule type="cellIs" dxfId="2558" priority="2559" stopIfTrue="1" operator="lessThan">
      <formula>0.001</formula>
    </cfRule>
  </conditionalFormatting>
  <conditionalFormatting sqref="BM733">
    <cfRule type="cellIs" dxfId="2557" priority="2558" stopIfTrue="1" operator="lessThan">
      <formula>0.001</formula>
    </cfRule>
  </conditionalFormatting>
  <conditionalFormatting sqref="BM734:BM735">
    <cfRule type="cellIs" dxfId="2556" priority="2557" stopIfTrue="1" operator="lessThan">
      <formula>0.001</formula>
    </cfRule>
  </conditionalFormatting>
  <conditionalFormatting sqref="BM736">
    <cfRule type="cellIs" dxfId="2555" priority="2556" stopIfTrue="1" operator="lessThan">
      <formula>0.001</formula>
    </cfRule>
  </conditionalFormatting>
  <conditionalFormatting sqref="BM737:BM739">
    <cfRule type="cellIs" dxfId="2554" priority="2555" stopIfTrue="1" operator="lessThan">
      <formula>0.001</formula>
    </cfRule>
  </conditionalFormatting>
  <conditionalFormatting sqref="BN681">
    <cfRule type="cellIs" dxfId="2553" priority="2554" stopIfTrue="1" operator="lessThan">
      <formula>0.001</formula>
    </cfRule>
  </conditionalFormatting>
  <conditionalFormatting sqref="BN682">
    <cfRule type="cellIs" dxfId="2552" priority="2553" stopIfTrue="1" operator="lessThan">
      <formula>0.001</formula>
    </cfRule>
  </conditionalFormatting>
  <conditionalFormatting sqref="BN683:BN690">
    <cfRule type="cellIs" dxfId="2551" priority="2552" stopIfTrue="1" operator="lessThan">
      <formula>0.001</formula>
    </cfRule>
  </conditionalFormatting>
  <conditionalFormatting sqref="BN691">
    <cfRule type="cellIs" dxfId="2550" priority="2551" stopIfTrue="1" operator="lessThan">
      <formula>0.001</formula>
    </cfRule>
  </conditionalFormatting>
  <conditionalFormatting sqref="BN694">
    <cfRule type="cellIs" dxfId="2549" priority="2550" stopIfTrue="1" operator="lessThan">
      <formula>0.001</formula>
    </cfRule>
  </conditionalFormatting>
  <conditionalFormatting sqref="BN695">
    <cfRule type="cellIs" dxfId="2548" priority="2549" stopIfTrue="1" operator="lessThan">
      <formula>0.001</formula>
    </cfRule>
  </conditionalFormatting>
  <conditionalFormatting sqref="BN698">
    <cfRule type="cellIs" dxfId="2547" priority="2548" stopIfTrue="1" operator="lessThan">
      <formula>0.001</formula>
    </cfRule>
  </conditionalFormatting>
  <conditionalFormatting sqref="BN699">
    <cfRule type="cellIs" dxfId="2546" priority="2547" stopIfTrue="1" operator="lessThan">
      <formula>0.001</formula>
    </cfRule>
  </conditionalFormatting>
  <conditionalFormatting sqref="BN700">
    <cfRule type="cellIs" dxfId="2545" priority="2546" stopIfTrue="1" operator="lessThan">
      <formula>0.001</formula>
    </cfRule>
  </conditionalFormatting>
  <conditionalFormatting sqref="BN701:BN703">
    <cfRule type="cellIs" dxfId="2544" priority="2545" stopIfTrue="1" operator="lessThan">
      <formula>0.001</formula>
    </cfRule>
  </conditionalFormatting>
  <conditionalFormatting sqref="BN704">
    <cfRule type="cellIs" dxfId="2543" priority="2544" stopIfTrue="1" operator="lessThan">
      <formula>0.001</formula>
    </cfRule>
  </conditionalFormatting>
  <conditionalFormatting sqref="BN705">
    <cfRule type="cellIs" dxfId="2542" priority="2543" stopIfTrue="1" operator="lessThan">
      <formula>0.001</formula>
    </cfRule>
  </conditionalFormatting>
  <conditionalFormatting sqref="BN707:BN709">
    <cfRule type="cellIs" dxfId="2541" priority="2542" stopIfTrue="1" operator="lessThan">
      <formula>0.001</formula>
    </cfRule>
  </conditionalFormatting>
  <conditionalFormatting sqref="BN706">
    <cfRule type="cellIs" dxfId="2540" priority="2541" stopIfTrue="1" operator="lessThan">
      <formula>0.001</formula>
    </cfRule>
  </conditionalFormatting>
  <conditionalFormatting sqref="BN710">
    <cfRule type="cellIs" dxfId="2539" priority="2540" stopIfTrue="1" operator="lessThan">
      <formula>0.001</formula>
    </cfRule>
  </conditionalFormatting>
  <conditionalFormatting sqref="BN711:BN716">
    <cfRule type="cellIs" dxfId="2538" priority="2539" stopIfTrue="1" operator="lessThan">
      <formula>0.001</formula>
    </cfRule>
  </conditionalFormatting>
  <conditionalFormatting sqref="BN717">
    <cfRule type="cellIs" dxfId="2537" priority="2538" stopIfTrue="1" operator="lessThan">
      <formula>0.001</formula>
    </cfRule>
  </conditionalFormatting>
  <conditionalFormatting sqref="BN718:BN720">
    <cfRule type="cellIs" dxfId="2536" priority="2537" stopIfTrue="1" operator="lessThan">
      <formula>0.001</formula>
    </cfRule>
  </conditionalFormatting>
  <conditionalFormatting sqref="BN721">
    <cfRule type="cellIs" dxfId="2535" priority="2536" stopIfTrue="1" operator="lessThan">
      <formula>0.001</formula>
    </cfRule>
  </conditionalFormatting>
  <conditionalFormatting sqref="BN722:BN724">
    <cfRule type="cellIs" dxfId="2534" priority="2535" stopIfTrue="1" operator="lessThan">
      <formula>0.001</formula>
    </cfRule>
  </conditionalFormatting>
  <conditionalFormatting sqref="BN725">
    <cfRule type="cellIs" dxfId="2533" priority="2534" stopIfTrue="1" operator="lessThan">
      <formula>0.001</formula>
    </cfRule>
  </conditionalFormatting>
  <conditionalFormatting sqref="BN726">
    <cfRule type="cellIs" dxfId="2532" priority="2533" stopIfTrue="1" operator="lessThan">
      <formula>0.001</formula>
    </cfRule>
  </conditionalFormatting>
  <conditionalFormatting sqref="BN727">
    <cfRule type="cellIs" dxfId="2531" priority="2532" stopIfTrue="1" operator="lessThan">
      <formula>0.001</formula>
    </cfRule>
  </conditionalFormatting>
  <conditionalFormatting sqref="BN728:BN730">
    <cfRule type="cellIs" dxfId="2530" priority="2531" stopIfTrue="1" operator="lessThan">
      <formula>0.001</formula>
    </cfRule>
  </conditionalFormatting>
  <conditionalFormatting sqref="BN731">
    <cfRule type="cellIs" dxfId="2529" priority="2530" stopIfTrue="1" operator="lessThan">
      <formula>0.001</formula>
    </cfRule>
  </conditionalFormatting>
  <conditionalFormatting sqref="BN732">
    <cfRule type="cellIs" dxfId="2528" priority="2529" stopIfTrue="1" operator="lessThan">
      <formula>0.001</formula>
    </cfRule>
  </conditionalFormatting>
  <conditionalFormatting sqref="BN733">
    <cfRule type="cellIs" dxfId="2527" priority="2528" stopIfTrue="1" operator="lessThan">
      <formula>0.001</formula>
    </cfRule>
  </conditionalFormatting>
  <conditionalFormatting sqref="BN734:BN735">
    <cfRule type="cellIs" dxfId="2526" priority="2527" stopIfTrue="1" operator="lessThan">
      <formula>0.001</formula>
    </cfRule>
  </conditionalFormatting>
  <conditionalFormatting sqref="BN736">
    <cfRule type="cellIs" dxfId="2525" priority="2526" stopIfTrue="1" operator="lessThan">
      <formula>0.001</formula>
    </cfRule>
  </conditionalFormatting>
  <conditionalFormatting sqref="BN737:BN739">
    <cfRule type="cellIs" dxfId="2524" priority="2525" stopIfTrue="1" operator="lessThan">
      <formula>0.001</formula>
    </cfRule>
  </conditionalFormatting>
  <conditionalFormatting sqref="BN681">
    <cfRule type="cellIs" dxfId="2523" priority="2524" stopIfTrue="1" operator="lessThan">
      <formula>0.001</formula>
    </cfRule>
  </conditionalFormatting>
  <conditionalFormatting sqref="BN682">
    <cfRule type="cellIs" dxfId="2522" priority="2523" stopIfTrue="1" operator="lessThan">
      <formula>0.001</formula>
    </cfRule>
  </conditionalFormatting>
  <conditionalFormatting sqref="BN683:BN690">
    <cfRule type="cellIs" dxfId="2521" priority="2522" stopIfTrue="1" operator="lessThan">
      <formula>0.001</formula>
    </cfRule>
  </conditionalFormatting>
  <conditionalFormatting sqref="BN691">
    <cfRule type="cellIs" dxfId="2520" priority="2521" stopIfTrue="1" operator="lessThan">
      <formula>0.001</formula>
    </cfRule>
  </conditionalFormatting>
  <conditionalFormatting sqref="BN694">
    <cfRule type="cellIs" dxfId="2519" priority="2520" stopIfTrue="1" operator="lessThan">
      <formula>0.001</formula>
    </cfRule>
  </conditionalFormatting>
  <conditionalFormatting sqref="BN695">
    <cfRule type="cellIs" dxfId="2518" priority="2519" stopIfTrue="1" operator="lessThan">
      <formula>0.001</formula>
    </cfRule>
  </conditionalFormatting>
  <conditionalFormatting sqref="BN698">
    <cfRule type="cellIs" dxfId="2517" priority="2518" stopIfTrue="1" operator="lessThan">
      <formula>0.001</formula>
    </cfRule>
  </conditionalFormatting>
  <conditionalFormatting sqref="BN699">
    <cfRule type="cellIs" dxfId="2516" priority="2517" stopIfTrue="1" operator="lessThan">
      <formula>0.001</formula>
    </cfRule>
  </conditionalFormatting>
  <conditionalFormatting sqref="BN700">
    <cfRule type="cellIs" dxfId="2515" priority="2516" stopIfTrue="1" operator="lessThan">
      <formula>0.001</formula>
    </cfRule>
  </conditionalFormatting>
  <conditionalFormatting sqref="BN701:BN703">
    <cfRule type="cellIs" dxfId="2514" priority="2515" stopIfTrue="1" operator="lessThan">
      <formula>0.001</formula>
    </cfRule>
  </conditionalFormatting>
  <conditionalFormatting sqref="BN704">
    <cfRule type="cellIs" dxfId="2513" priority="2514" stopIfTrue="1" operator="lessThan">
      <formula>0.001</formula>
    </cfRule>
  </conditionalFormatting>
  <conditionalFormatting sqref="BN705">
    <cfRule type="cellIs" dxfId="2512" priority="2513" stopIfTrue="1" operator="lessThan">
      <formula>0.001</formula>
    </cfRule>
  </conditionalFormatting>
  <conditionalFormatting sqref="BN707:BN709">
    <cfRule type="cellIs" dxfId="2511" priority="2512" stopIfTrue="1" operator="lessThan">
      <formula>0.001</formula>
    </cfRule>
  </conditionalFormatting>
  <conditionalFormatting sqref="BN706">
    <cfRule type="cellIs" dxfId="2510" priority="2511" stopIfTrue="1" operator="lessThan">
      <formula>0.001</formula>
    </cfRule>
  </conditionalFormatting>
  <conditionalFormatting sqref="BN710">
    <cfRule type="cellIs" dxfId="2509" priority="2510" stopIfTrue="1" operator="lessThan">
      <formula>0.001</formula>
    </cfRule>
  </conditionalFormatting>
  <conditionalFormatting sqref="BN711:BN716">
    <cfRule type="cellIs" dxfId="2508" priority="2509" stopIfTrue="1" operator="lessThan">
      <formula>0.001</formula>
    </cfRule>
  </conditionalFormatting>
  <conditionalFormatting sqref="BN717">
    <cfRule type="cellIs" dxfId="2507" priority="2508" stopIfTrue="1" operator="lessThan">
      <formula>0.001</formula>
    </cfRule>
  </conditionalFormatting>
  <conditionalFormatting sqref="BN718:BN720">
    <cfRule type="cellIs" dxfId="2506" priority="2507" stopIfTrue="1" operator="lessThan">
      <formula>0.001</formula>
    </cfRule>
  </conditionalFormatting>
  <conditionalFormatting sqref="BN721">
    <cfRule type="cellIs" dxfId="2505" priority="2506" stopIfTrue="1" operator="lessThan">
      <formula>0.001</formula>
    </cfRule>
  </conditionalFormatting>
  <conditionalFormatting sqref="BN722:BN724">
    <cfRule type="cellIs" dxfId="2504" priority="2505" stopIfTrue="1" operator="lessThan">
      <formula>0.001</formula>
    </cfRule>
  </conditionalFormatting>
  <conditionalFormatting sqref="BN725">
    <cfRule type="cellIs" dxfId="2503" priority="2504" stopIfTrue="1" operator="lessThan">
      <formula>0.001</formula>
    </cfRule>
  </conditionalFormatting>
  <conditionalFormatting sqref="BN726">
    <cfRule type="cellIs" dxfId="2502" priority="2503" stopIfTrue="1" operator="lessThan">
      <formula>0.001</formula>
    </cfRule>
  </conditionalFormatting>
  <conditionalFormatting sqref="BN727">
    <cfRule type="cellIs" dxfId="2501" priority="2502" stopIfTrue="1" operator="lessThan">
      <formula>0.001</formula>
    </cfRule>
  </conditionalFormatting>
  <conditionalFormatting sqref="BN728:BN730">
    <cfRule type="cellIs" dxfId="2500" priority="2501" stopIfTrue="1" operator="lessThan">
      <formula>0.001</formula>
    </cfRule>
  </conditionalFormatting>
  <conditionalFormatting sqref="BN731">
    <cfRule type="cellIs" dxfId="2499" priority="2500" stopIfTrue="1" operator="lessThan">
      <formula>0.001</formula>
    </cfRule>
  </conditionalFormatting>
  <conditionalFormatting sqref="BN732">
    <cfRule type="cellIs" dxfId="2498" priority="2499" stopIfTrue="1" operator="lessThan">
      <formula>0.001</formula>
    </cfRule>
  </conditionalFormatting>
  <conditionalFormatting sqref="BN733">
    <cfRule type="cellIs" dxfId="2497" priority="2498" stopIfTrue="1" operator="lessThan">
      <formula>0.001</formula>
    </cfRule>
  </conditionalFormatting>
  <conditionalFormatting sqref="BN734:BN735">
    <cfRule type="cellIs" dxfId="2496" priority="2497" stopIfTrue="1" operator="lessThan">
      <formula>0.001</formula>
    </cfRule>
  </conditionalFormatting>
  <conditionalFormatting sqref="BN736">
    <cfRule type="cellIs" dxfId="2495" priority="2496" stopIfTrue="1" operator="lessThan">
      <formula>0.001</formula>
    </cfRule>
  </conditionalFormatting>
  <conditionalFormatting sqref="BN737:BN739">
    <cfRule type="cellIs" dxfId="2494" priority="2495" stopIfTrue="1" operator="lessThan">
      <formula>0.001</formula>
    </cfRule>
  </conditionalFormatting>
  <conditionalFormatting sqref="BJ681">
    <cfRule type="cellIs" dxfId="2493" priority="2494" stopIfTrue="1" operator="lessThan">
      <formula>0.001</formula>
    </cfRule>
  </conditionalFormatting>
  <conditionalFormatting sqref="BJ682">
    <cfRule type="cellIs" dxfId="2492" priority="2493" stopIfTrue="1" operator="lessThan">
      <formula>0.001</formula>
    </cfRule>
  </conditionalFormatting>
  <conditionalFormatting sqref="BJ683:BJ690">
    <cfRule type="cellIs" dxfId="2491" priority="2492" stopIfTrue="1" operator="lessThan">
      <formula>0.001</formula>
    </cfRule>
  </conditionalFormatting>
  <conditionalFormatting sqref="BJ691">
    <cfRule type="cellIs" dxfId="2490" priority="2491" stopIfTrue="1" operator="lessThan">
      <formula>0.001</formula>
    </cfRule>
  </conditionalFormatting>
  <conditionalFormatting sqref="BJ694">
    <cfRule type="cellIs" dxfId="2489" priority="2490" stopIfTrue="1" operator="lessThan">
      <formula>0.001</formula>
    </cfRule>
  </conditionalFormatting>
  <conditionalFormatting sqref="BJ695">
    <cfRule type="cellIs" dxfId="2488" priority="2489" stopIfTrue="1" operator="lessThan">
      <formula>0.001</formula>
    </cfRule>
  </conditionalFormatting>
  <conditionalFormatting sqref="BJ698">
    <cfRule type="cellIs" dxfId="2487" priority="2488" stopIfTrue="1" operator="lessThan">
      <formula>0.001</formula>
    </cfRule>
  </conditionalFormatting>
  <conditionalFormatting sqref="BJ699">
    <cfRule type="cellIs" dxfId="2486" priority="2487" stopIfTrue="1" operator="lessThan">
      <formula>0.001</formula>
    </cfRule>
  </conditionalFormatting>
  <conditionalFormatting sqref="BJ700">
    <cfRule type="cellIs" dxfId="2485" priority="2486" stopIfTrue="1" operator="lessThan">
      <formula>0.001</formula>
    </cfRule>
  </conditionalFormatting>
  <conditionalFormatting sqref="BJ701:BJ703">
    <cfRule type="cellIs" dxfId="2484" priority="2485" stopIfTrue="1" operator="lessThan">
      <formula>0.001</formula>
    </cfRule>
  </conditionalFormatting>
  <conditionalFormatting sqref="BJ704">
    <cfRule type="cellIs" dxfId="2483" priority="2484" stopIfTrue="1" operator="lessThan">
      <formula>0.001</formula>
    </cfRule>
  </conditionalFormatting>
  <conditionalFormatting sqref="BJ705">
    <cfRule type="cellIs" dxfId="2482" priority="2483" stopIfTrue="1" operator="lessThan">
      <formula>0.001</formula>
    </cfRule>
  </conditionalFormatting>
  <conditionalFormatting sqref="BJ707:BJ709">
    <cfRule type="cellIs" dxfId="2481" priority="2482" stopIfTrue="1" operator="lessThan">
      <formula>0.001</formula>
    </cfRule>
  </conditionalFormatting>
  <conditionalFormatting sqref="BJ706">
    <cfRule type="cellIs" dxfId="2480" priority="2481" stopIfTrue="1" operator="lessThan">
      <formula>0.001</formula>
    </cfRule>
  </conditionalFormatting>
  <conditionalFormatting sqref="BJ710">
    <cfRule type="cellIs" dxfId="2479" priority="2480" stopIfTrue="1" operator="lessThan">
      <formula>0.001</formula>
    </cfRule>
  </conditionalFormatting>
  <conditionalFormatting sqref="BJ711:BJ716">
    <cfRule type="cellIs" dxfId="2478" priority="2479" stopIfTrue="1" operator="lessThan">
      <formula>0.001</formula>
    </cfRule>
  </conditionalFormatting>
  <conditionalFormatting sqref="BJ717">
    <cfRule type="cellIs" dxfId="2477" priority="2478" stopIfTrue="1" operator="lessThan">
      <formula>0.001</formula>
    </cfRule>
  </conditionalFormatting>
  <conditionalFormatting sqref="BJ718:BJ720">
    <cfRule type="cellIs" dxfId="2476" priority="2477" stopIfTrue="1" operator="lessThan">
      <formula>0.001</formula>
    </cfRule>
  </conditionalFormatting>
  <conditionalFormatting sqref="BJ721">
    <cfRule type="cellIs" dxfId="2475" priority="2476" stopIfTrue="1" operator="lessThan">
      <formula>0.001</formula>
    </cfRule>
  </conditionalFormatting>
  <conditionalFormatting sqref="BJ722:BJ724">
    <cfRule type="cellIs" dxfId="2474" priority="2475" stopIfTrue="1" operator="lessThan">
      <formula>0.001</formula>
    </cfRule>
  </conditionalFormatting>
  <conditionalFormatting sqref="BJ725">
    <cfRule type="cellIs" dxfId="2473" priority="2474" stopIfTrue="1" operator="lessThan">
      <formula>0.001</formula>
    </cfRule>
  </conditionalFormatting>
  <conditionalFormatting sqref="BJ726">
    <cfRule type="cellIs" dxfId="2472" priority="2473" stopIfTrue="1" operator="lessThan">
      <formula>0.001</formula>
    </cfRule>
  </conditionalFormatting>
  <conditionalFormatting sqref="BJ727">
    <cfRule type="cellIs" dxfId="2471" priority="2472" stopIfTrue="1" operator="lessThan">
      <formula>0.001</formula>
    </cfRule>
  </conditionalFormatting>
  <conditionalFormatting sqref="BJ728:BJ730">
    <cfRule type="cellIs" dxfId="2470" priority="2471" stopIfTrue="1" operator="lessThan">
      <formula>0.001</formula>
    </cfRule>
  </conditionalFormatting>
  <conditionalFormatting sqref="BJ731">
    <cfRule type="cellIs" dxfId="2469" priority="2470" stopIfTrue="1" operator="lessThan">
      <formula>0.001</formula>
    </cfRule>
  </conditionalFormatting>
  <conditionalFormatting sqref="BJ732">
    <cfRule type="cellIs" dxfId="2468" priority="2469" stopIfTrue="1" operator="lessThan">
      <formula>0.001</formula>
    </cfRule>
  </conditionalFormatting>
  <conditionalFormatting sqref="BJ733">
    <cfRule type="cellIs" dxfId="2467" priority="2468" stopIfTrue="1" operator="lessThan">
      <formula>0.001</formula>
    </cfRule>
  </conditionalFormatting>
  <conditionalFormatting sqref="BJ734:BJ735">
    <cfRule type="cellIs" dxfId="2466" priority="2467" stopIfTrue="1" operator="lessThan">
      <formula>0.001</formula>
    </cfRule>
  </conditionalFormatting>
  <conditionalFormatting sqref="BJ736">
    <cfRule type="cellIs" dxfId="2465" priority="2466" stopIfTrue="1" operator="lessThan">
      <formula>0.001</formula>
    </cfRule>
  </conditionalFormatting>
  <conditionalFormatting sqref="BJ737:BJ739">
    <cfRule type="cellIs" dxfId="2464" priority="2465" stopIfTrue="1" operator="lessThan">
      <formula>0.001</formula>
    </cfRule>
  </conditionalFormatting>
  <conditionalFormatting sqref="BJ681">
    <cfRule type="cellIs" dxfId="2463" priority="2464" stopIfTrue="1" operator="lessThan">
      <formula>0.001</formula>
    </cfRule>
  </conditionalFormatting>
  <conditionalFormatting sqref="BJ682">
    <cfRule type="cellIs" dxfId="2462" priority="2463" stopIfTrue="1" operator="lessThan">
      <formula>0.001</formula>
    </cfRule>
  </conditionalFormatting>
  <conditionalFormatting sqref="BJ683:BJ690">
    <cfRule type="cellIs" dxfId="2461" priority="2462" stopIfTrue="1" operator="lessThan">
      <formula>0.001</formula>
    </cfRule>
  </conditionalFormatting>
  <conditionalFormatting sqref="BJ691">
    <cfRule type="cellIs" dxfId="2460" priority="2461" stopIfTrue="1" operator="lessThan">
      <formula>0.001</formula>
    </cfRule>
  </conditionalFormatting>
  <conditionalFormatting sqref="BJ694">
    <cfRule type="cellIs" dxfId="2459" priority="2460" stopIfTrue="1" operator="lessThan">
      <formula>0.001</formula>
    </cfRule>
  </conditionalFormatting>
  <conditionalFormatting sqref="BJ695">
    <cfRule type="cellIs" dxfId="2458" priority="2459" stopIfTrue="1" operator="lessThan">
      <formula>0.001</formula>
    </cfRule>
  </conditionalFormatting>
  <conditionalFormatting sqref="BJ698">
    <cfRule type="cellIs" dxfId="2457" priority="2458" stopIfTrue="1" operator="lessThan">
      <formula>0.001</formula>
    </cfRule>
  </conditionalFormatting>
  <conditionalFormatting sqref="BJ699">
    <cfRule type="cellIs" dxfId="2456" priority="2457" stopIfTrue="1" operator="lessThan">
      <formula>0.001</formula>
    </cfRule>
  </conditionalFormatting>
  <conditionalFormatting sqref="BJ700">
    <cfRule type="cellIs" dxfId="2455" priority="2456" stopIfTrue="1" operator="lessThan">
      <formula>0.001</formula>
    </cfRule>
  </conditionalFormatting>
  <conditionalFormatting sqref="BJ701:BJ703">
    <cfRule type="cellIs" dxfId="2454" priority="2455" stopIfTrue="1" operator="lessThan">
      <formula>0.001</formula>
    </cfRule>
  </conditionalFormatting>
  <conditionalFormatting sqref="BJ704">
    <cfRule type="cellIs" dxfId="2453" priority="2454" stopIfTrue="1" operator="lessThan">
      <formula>0.001</formula>
    </cfRule>
  </conditionalFormatting>
  <conditionalFormatting sqref="BJ705">
    <cfRule type="cellIs" dxfId="2452" priority="2453" stopIfTrue="1" operator="lessThan">
      <formula>0.001</formula>
    </cfRule>
  </conditionalFormatting>
  <conditionalFormatting sqref="BJ707:BJ709">
    <cfRule type="cellIs" dxfId="2451" priority="2452" stopIfTrue="1" operator="lessThan">
      <formula>0.001</formula>
    </cfRule>
  </conditionalFormatting>
  <conditionalFormatting sqref="BJ706">
    <cfRule type="cellIs" dxfId="2450" priority="2451" stopIfTrue="1" operator="lessThan">
      <formula>0.001</formula>
    </cfRule>
  </conditionalFormatting>
  <conditionalFormatting sqref="BJ710">
    <cfRule type="cellIs" dxfId="2449" priority="2450" stopIfTrue="1" operator="lessThan">
      <formula>0.001</formula>
    </cfRule>
  </conditionalFormatting>
  <conditionalFormatting sqref="BJ711:BJ716">
    <cfRule type="cellIs" dxfId="2448" priority="2449" stopIfTrue="1" operator="lessThan">
      <formula>0.001</formula>
    </cfRule>
  </conditionalFormatting>
  <conditionalFormatting sqref="BJ717">
    <cfRule type="cellIs" dxfId="2447" priority="2448" stopIfTrue="1" operator="lessThan">
      <formula>0.001</formula>
    </cfRule>
  </conditionalFormatting>
  <conditionalFormatting sqref="BJ718:BJ720">
    <cfRule type="cellIs" dxfId="2446" priority="2447" stopIfTrue="1" operator="lessThan">
      <formula>0.001</formula>
    </cfRule>
  </conditionalFormatting>
  <conditionalFormatting sqref="BJ721">
    <cfRule type="cellIs" dxfId="2445" priority="2446" stopIfTrue="1" operator="lessThan">
      <formula>0.001</formula>
    </cfRule>
  </conditionalFormatting>
  <conditionalFormatting sqref="BJ722:BJ724">
    <cfRule type="cellIs" dxfId="2444" priority="2445" stopIfTrue="1" operator="lessThan">
      <formula>0.001</formula>
    </cfRule>
  </conditionalFormatting>
  <conditionalFormatting sqref="BJ725">
    <cfRule type="cellIs" dxfId="2443" priority="2444" stopIfTrue="1" operator="lessThan">
      <formula>0.001</formula>
    </cfRule>
  </conditionalFormatting>
  <conditionalFormatting sqref="BJ726">
    <cfRule type="cellIs" dxfId="2442" priority="2443" stopIfTrue="1" operator="lessThan">
      <formula>0.001</formula>
    </cfRule>
  </conditionalFormatting>
  <conditionalFormatting sqref="BJ727">
    <cfRule type="cellIs" dxfId="2441" priority="2442" stopIfTrue="1" operator="lessThan">
      <formula>0.001</formula>
    </cfRule>
  </conditionalFormatting>
  <conditionalFormatting sqref="BJ728:BJ730">
    <cfRule type="cellIs" dxfId="2440" priority="2441" stopIfTrue="1" operator="lessThan">
      <formula>0.001</formula>
    </cfRule>
  </conditionalFormatting>
  <conditionalFormatting sqref="BJ731">
    <cfRule type="cellIs" dxfId="2439" priority="2440" stopIfTrue="1" operator="lessThan">
      <formula>0.001</formula>
    </cfRule>
  </conditionalFormatting>
  <conditionalFormatting sqref="BJ732">
    <cfRule type="cellIs" dxfId="2438" priority="2439" stopIfTrue="1" operator="lessThan">
      <formula>0.001</formula>
    </cfRule>
  </conditionalFormatting>
  <conditionalFormatting sqref="BJ733">
    <cfRule type="cellIs" dxfId="2437" priority="2438" stopIfTrue="1" operator="lessThan">
      <formula>0.001</formula>
    </cfRule>
  </conditionalFormatting>
  <conditionalFormatting sqref="BJ734:BJ735">
    <cfRule type="cellIs" dxfId="2436" priority="2437" stopIfTrue="1" operator="lessThan">
      <formula>0.001</formula>
    </cfRule>
  </conditionalFormatting>
  <conditionalFormatting sqref="BJ736">
    <cfRule type="cellIs" dxfId="2435" priority="2436" stopIfTrue="1" operator="lessThan">
      <formula>0.001</formula>
    </cfRule>
  </conditionalFormatting>
  <conditionalFormatting sqref="BJ737:BJ739">
    <cfRule type="cellIs" dxfId="2434" priority="2435" stopIfTrue="1" operator="lessThan">
      <formula>0.001</formula>
    </cfRule>
  </conditionalFormatting>
  <conditionalFormatting sqref="BJ681">
    <cfRule type="cellIs" dxfId="2433" priority="2434" stopIfTrue="1" operator="lessThan">
      <formula>0.001</formula>
    </cfRule>
  </conditionalFormatting>
  <conditionalFormatting sqref="BJ682">
    <cfRule type="cellIs" dxfId="2432" priority="2433" stopIfTrue="1" operator="lessThan">
      <formula>0.001</formula>
    </cfRule>
  </conditionalFormatting>
  <conditionalFormatting sqref="BJ683:BJ690">
    <cfRule type="cellIs" dxfId="2431" priority="2432" stopIfTrue="1" operator="lessThan">
      <formula>0.001</formula>
    </cfRule>
  </conditionalFormatting>
  <conditionalFormatting sqref="BJ691">
    <cfRule type="cellIs" dxfId="2430" priority="2431" stopIfTrue="1" operator="lessThan">
      <formula>0.001</formula>
    </cfRule>
  </conditionalFormatting>
  <conditionalFormatting sqref="BJ694">
    <cfRule type="cellIs" dxfId="2429" priority="2430" stopIfTrue="1" operator="lessThan">
      <formula>0.001</formula>
    </cfRule>
  </conditionalFormatting>
  <conditionalFormatting sqref="BJ695">
    <cfRule type="cellIs" dxfId="2428" priority="2429" stopIfTrue="1" operator="lessThan">
      <formula>0.001</formula>
    </cfRule>
  </conditionalFormatting>
  <conditionalFormatting sqref="BJ698">
    <cfRule type="cellIs" dxfId="2427" priority="2428" stopIfTrue="1" operator="lessThan">
      <formula>0.001</formula>
    </cfRule>
  </conditionalFormatting>
  <conditionalFormatting sqref="BJ699">
    <cfRule type="cellIs" dxfId="2426" priority="2427" stopIfTrue="1" operator="lessThan">
      <formula>0.001</formula>
    </cfRule>
  </conditionalFormatting>
  <conditionalFormatting sqref="BJ700">
    <cfRule type="cellIs" dxfId="2425" priority="2426" stopIfTrue="1" operator="lessThan">
      <formula>0.001</formula>
    </cfRule>
  </conditionalFormatting>
  <conditionalFormatting sqref="BJ701:BJ703">
    <cfRule type="cellIs" dxfId="2424" priority="2425" stopIfTrue="1" operator="lessThan">
      <formula>0.001</formula>
    </cfRule>
  </conditionalFormatting>
  <conditionalFormatting sqref="BJ704">
    <cfRule type="cellIs" dxfId="2423" priority="2424" stopIfTrue="1" operator="lessThan">
      <formula>0.001</formula>
    </cfRule>
  </conditionalFormatting>
  <conditionalFormatting sqref="BJ705">
    <cfRule type="cellIs" dxfId="2422" priority="2423" stopIfTrue="1" operator="lessThan">
      <formula>0.001</formula>
    </cfRule>
  </conditionalFormatting>
  <conditionalFormatting sqref="BJ707:BJ709">
    <cfRule type="cellIs" dxfId="2421" priority="2422" stopIfTrue="1" operator="lessThan">
      <formula>0.001</formula>
    </cfRule>
  </conditionalFormatting>
  <conditionalFormatting sqref="BJ706">
    <cfRule type="cellIs" dxfId="2420" priority="2421" stopIfTrue="1" operator="lessThan">
      <formula>0.001</formula>
    </cfRule>
  </conditionalFormatting>
  <conditionalFormatting sqref="BJ710">
    <cfRule type="cellIs" dxfId="2419" priority="2420" stopIfTrue="1" operator="lessThan">
      <formula>0.001</formula>
    </cfRule>
  </conditionalFormatting>
  <conditionalFormatting sqref="BJ711:BJ716">
    <cfRule type="cellIs" dxfId="2418" priority="2419" stopIfTrue="1" operator="lessThan">
      <formula>0.001</formula>
    </cfRule>
  </conditionalFormatting>
  <conditionalFormatting sqref="BJ717">
    <cfRule type="cellIs" dxfId="2417" priority="2418" stopIfTrue="1" operator="lessThan">
      <formula>0.001</formula>
    </cfRule>
  </conditionalFormatting>
  <conditionalFormatting sqref="BJ718:BJ720">
    <cfRule type="cellIs" dxfId="2416" priority="2417" stopIfTrue="1" operator="lessThan">
      <formula>0.001</formula>
    </cfRule>
  </conditionalFormatting>
  <conditionalFormatting sqref="BJ721">
    <cfRule type="cellIs" dxfId="2415" priority="2416" stopIfTrue="1" operator="lessThan">
      <formula>0.001</formula>
    </cfRule>
  </conditionalFormatting>
  <conditionalFormatting sqref="BJ722:BJ724">
    <cfRule type="cellIs" dxfId="2414" priority="2415" stopIfTrue="1" operator="lessThan">
      <formula>0.001</formula>
    </cfRule>
  </conditionalFormatting>
  <conditionalFormatting sqref="BJ725">
    <cfRule type="cellIs" dxfId="2413" priority="2414" stopIfTrue="1" operator="lessThan">
      <formula>0.001</formula>
    </cfRule>
  </conditionalFormatting>
  <conditionalFormatting sqref="BJ726">
    <cfRule type="cellIs" dxfId="2412" priority="2413" stopIfTrue="1" operator="lessThan">
      <formula>0.001</formula>
    </cfRule>
  </conditionalFormatting>
  <conditionalFormatting sqref="BJ727">
    <cfRule type="cellIs" dxfId="2411" priority="2412" stopIfTrue="1" operator="lessThan">
      <formula>0.001</formula>
    </cfRule>
  </conditionalFormatting>
  <conditionalFormatting sqref="BJ728:BJ730">
    <cfRule type="cellIs" dxfId="2410" priority="2411" stopIfTrue="1" operator="lessThan">
      <formula>0.001</formula>
    </cfRule>
  </conditionalFormatting>
  <conditionalFormatting sqref="BJ731">
    <cfRule type="cellIs" dxfId="2409" priority="2410" stopIfTrue="1" operator="lessThan">
      <formula>0.001</formula>
    </cfRule>
  </conditionalFormatting>
  <conditionalFormatting sqref="BJ732">
    <cfRule type="cellIs" dxfId="2408" priority="2409" stopIfTrue="1" operator="lessThan">
      <formula>0.001</formula>
    </cfRule>
  </conditionalFormatting>
  <conditionalFormatting sqref="BJ733">
    <cfRule type="cellIs" dxfId="2407" priority="2408" stopIfTrue="1" operator="lessThan">
      <formula>0.001</formula>
    </cfRule>
  </conditionalFormatting>
  <conditionalFormatting sqref="BJ734:BJ735">
    <cfRule type="cellIs" dxfId="2406" priority="2407" stopIfTrue="1" operator="lessThan">
      <formula>0.001</formula>
    </cfRule>
  </conditionalFormatting>
  <conditionalFormatting sqref="BJ736">
    <cfRule type="cellIs" dxfId="2405" priority="2406" stopIfTrue="1" operator="lessThan">
      <formula>0.001</formula>
    </cfRule>
  </conditionalFormatting>
  <conditionalFormatting sqref="BJ737:BJ739">
    <cfRule type="cellIs" dxfId="2404" priority="2405" stopIfTrue="1" operator="lessThan">
      <formula>0.001</formula>
    </cfRule>
  </conditionalFormatting>
  <conditionalFormatting sqref="BJ681">
    <cfRule type="cellIs" dxfId="2403" priority="2404" stopIfTrue="1" operator="lessThan">
      <formula>0.001</formula>
    </cfRule>
  </conditionalFormatting>
  <conditionalFormatting sqref="BJ682">
    <cfRule type="cellIs" dxfId="2402" priority="2403" stopIfTrue="1" operator="lessThan">
      <formula>0.001</formula>
    </cfRule>
  </conditionalFormatting>
  <conditionalFormatting sqref="BJ683:BJ690">
    <cfRule type="cellIs" dxfId="2401" priority="2402" stopIfTrue="1" operator="lessThan">
      <formula>0.001</formula>
    </cfRule>
  </conditionalFormatting>
  <conditionalFormatting sqref="BJ691">
    <cfRule type="cellIs" dxfId="2400" priority="2401" stopIfTrue="1" operator="lessThan">
      <formula>0.001</formula>
    </cfRule>
  </conditionalFormatting>
  <conditionalFormatting sqref="BJ694">
    <cfRule type="cellIs" dxfId="2399" priority="2400" stopIfTrue="1" operator="lessThan">
      <formula>0.001</formula>
    </cfRule>
  </conditionalFormatting>
  <conditionalFormatting sqref="BJ695">
    <cfRule type="cellIs" dxfId="2398" priority="2399" stopIfTrue="1" operator="lessThan">
      <formula>0.001</formula>
    </cfRule>
  </conditionalFormatting>
  <conditionalFormatting sqref="BJ698">
    <cfRule type="cellIs" dxfId="2397" priority="2398" stopIfTrue="1" operator="lessThan">
      <formula>0.001</formula>
    </cfRule>
  </conditionalFormatting>
  <conditionalFormatting sqref="BJ699">
    <cfRule type="cellIs" dxfId="2396" priority="2397" stopIfTrue="1" operator="lessThan">
      <formula>0.001</formula>
    </cfRule>
  </conditionalFormatting>
  <conditionalFormatting sqref="BJ700">
    <cfRule type="cellIs" dxfId="2395" priority="2396" stopIfTrue="1" operator="lessThan">
      <formula>0.001</formula>
    </cfRule>
  </conditionalFormatting>
  <conditionalFormatting sqref="BJ701:BJ703">
    <cfRule type="cellIs" dxfId="2394" priority="2395" stopIfTrue="1" operator="lessThan">
      <formula>0.001</formula>
    </cfRule>
  </conditionalFormatting>
  <conditionalFormatting sqref="BJ704">
    <cfRule type="cellIs" dxfId="2393" priority="2394" stopIfTrue="1" operator="lessThan">
      <formula>0.001</formula>
    </cfRule>
  </conditionalFormatting>
  <conditionalFormatting sqref="BJ705">
    <cfRule type="cellIs" dxfId="2392" priority="2393" stopIfTrue="1" operator="lessThan">
      <formula>0.001</formula>
    </cfRule>
  </conditionalFormatting>
  <conditionalFormatting sqref="BJ707:BJ709">
    <cfRule type="cellIs" dxfId="2391" priority="2392" stopIfTrue="1" operator="lessThan">
      <formula>0.001</formula>
    </cfRule>
  </conditionalFormatting>
  <conditionalFormatting sqref="BJ706">
    <cfRule type="cellIs" dxfId="2390" priority="2391" stopIfTrue="1" operator="lessThan">
      <formula>0.001</formula>
    </cfRule>
  </conditionalFormatting>
  <conditionalFormatting sqref="BJ710">
    <cfRule type="cellIs" dxfId="2389" priority="2390" stopIfTrue="1" operator="lessThan">
      <formula>0.001</formula>
    </cfRule>
  </conditionalFormatting>
  <conditionalFormatting sqref="BJ711:BJ716">
    <cfRule type="cellIs" dxfId="2388" priority="2389" stopIfTrue="1" operator="lessThan">
      <formula>0.001</formula>
    </cfRule>
  </conditionalFormatting>
  <conditionalFormatting sqref="BJ717">
    <cfRule type="cellIs" dxfId="2387" priority="2388" stopIfTrue="1" operator="lessThan">
      <formula>0.001</formula>
    </cfRule>
  </conditionalFormatting>
  <conditionalFormatting sqref="BJ718:BJ720">
    <cfRule type="cellIs" dxfId="2386" priority="2387" stopIfTrue="1" operator="lessThan">
      <formula>0.001</formula>
    </cfRule>
  </conditionalFormatting>
  <conditionalFormatting sqref="BJ721">
    <cfRule type="cellIs" dxfId="2385" priority="2386" stopIfTrue="1" operator="lessThan">
      <formula>0.001</formula>
    </cfRule>
  </conditionalFormatting>
  <conditionalFormatting sqref="BJ722:BJ724">
    <cfRule type="cellIs" dxfId="2384" priority="2385" stopIfTrue="1" operator="lessThan">
      <formula>0.001</formula>
    </cfRule>
  </conditionalFormatting>
  <conditionalFormatting sqref="BJ725">
    <cfRule type="cellIs" dxfId="2383" priority="2384" stopIfTrue="1" operator="lessThan">
      <formula>0.001</formula>
    </cfRule>
  </conditionalFormatting>
  <conditionalFormatting sqref="BJ726">
    <cfRule type="cellIs" dxfId="2382" priority="2383" stopIfTrue="1" operator="lessThan">
      <formula>0.001</formula>
    </cfRule>
  </conditionalFormatting>
  <conditionalFormatting sqref="BJ727">
    <cfRule type="cellIs" dxfId="2381" priority="2382" stopIfTrue="1" operator="lessThan">
      <formula>0.001</formula>
    </cfRule>
  </conditionalFormatting>
  <conditionalFormatting sqref="BJ728:BJ730">
    <cfRule type="cellIs" dxfId="2380" priority="2381" stopIfTrue="1" operator="lessThan">
      <formula>0.001</formula>
    </cfRule>
  </conditionalFormatting>
  <conditionalFormatting sqref="BJ731">
    <cfRule type="cellIs" dxfId="2379" priority="2380" stopIfTrue="1" operator="lessThan">
      <formula>0.001</formula>
    </cfRule>
  </conditionalFormatting>
  <conditionalFormatting sqref="BJ732">
    <cfRule type="cellIs" dxfId="2378" priority="2379" stopIfTrue="1" operator="lessThan">
      <formula>0.001</formula>
    </cfRule>
  </conditionalFormatting>
  <conditionalFormatting sqref="BJ733">
    <cfRule type="cellIs" dxfId="2377" priority="2378" stopIfTrue="1" operator="lessThan">
      <formula>0.001</formula>
    </cfRule>
  </conditionalFormatting>
  <conditionalFormatting sqref="BJ734:BJ735">
    <cfRule type="cellIs" dxfId="2376" priority="2377" stopIfTrue="1" operator="lessThan">
      <formula>0.001</formula>
    </cfRule>
  </conditionalFormatting>
  <conditionalFormatting sqref="BJ736">
    <cfRule type="cellIs" dxfId="2375" priority="2376" stopIfTrue="1" operator="lessThan">
      <formula>0.001</formula>
    </cfRule>
  </conditionalFormatting>
  <conditionalFormatting sqref="BJ737:BJ739">
    <cfRule type="cellIs" dxfId="2374" priority="2375" stopIfTrue="1" operator="lessThan">
      <formula>0.001</formula>
    </cfRule>
  </conditionalFormatting>
  <conditionalFormatting sqref="BJ681">
    <cfRule type="cellIs" dxfId="2373" priority="2374" stopIfTrue="1" operator="lessThan">
      <formula>0.001</formula>
    </cfRule>
  </conditionalFormatting>
  <conditionalFormatting sqref="BJ682">
    <cfRule type="cellIs" dxfId="2372" priority="2373" stopIfTrue="1" operator="lessThan">
      <formula>0.001</formula>
    </cfRule>
  </conditionalFormatting>
  <conditionalFormatting sqref="BJ683:BJ690">
    <cfRule type="cellIs" dxfId="2371" priority="2372" stopIfTrue="1" operator="lessThan">
      <formula>0.001</formula>
    </cfRule>
  </conditionalFormatting>
  <conditionalFormatting sqref="BJ691">
    <cfRule type="cellIs" dxfId="2370" priority="2371" stopIfTrue="1" operator="lessThan">
      <formula>0.001</formula>
    </cfRule>
  </conditionalFormatting>
  <conditionalFormatting sqref="BJ694">
    <cfRule type="cellIs" dxfId="2369" priority="2370" stopIfTrue="1" operator="lessThan">
      <formula>0.001</formula>
    </cfRule>
  </conditionalFormatting>
  <conditionalFormatting sqref="BJ695">
    <cfRule type="cellIs" dxfId="2368" priority="2369" stopIfTrue="1" operator="lessThan">
      <formula>0.001</formula>
    </cfRule>
  </conditionalFormatting>
  <conditionalFormatting sqref="BJ698">
    <cfRule type="cellIs" dxfId="2367" priority="2368" stopIfTrue="1" operator="lessThan">
      <formula>0.001</formula>
    </cfRule>
  </conditionalFormatting>
  <conditionalFormatting sqref="BJ699">
    <cfRule type="cellIs" dxfId="2366" priority="2367" stopIfTrue="1" operator="lessThan">
      <formula>0.001</formula>
    </cfRule>
  </conditionalFormatting>
  <conditionalFormatting sqref="BJ700">
    <cfRule type="cellIs" dxfId="2365" priority="2366" stopIfTrue="1" operator="lessThan">
      <formula>0.001</formula>
    </cfRule>
  </conditionalFormatting>
  <conditionalFormatting sqref="BJ701:BJ703">
    <cfRule type="cellIs" dxfId="2364" priority="2365" stopIfTrue="1" operator="lessThan">
      <formula>0.001</formula>
    </cfRule>
  </conditionalFormatting>
  <conditionalFormatting sqref="BJ704">
    <cfRule type="cellIs" dxfId="2363" priority="2364" stopIfTrue="1" operator="lessThan">
      <formula>0.001</formula>
    </cfRule>
  </conditionalFormatting>
  <conditionalFormatting sqref="BJ705">
    <cfRule type="cellIs" dxfId="2362" priority="2363" stopIfTrue="1" operator="lessThan">
      <formula>0.001</formula>
    </cfRule>
  </conditionalFormatting>
  <conditionalFormatting sqref="BJ707:BJ709">
    <cfRule type="cellIs" dxfId="2361" priority="2362" stopIfTrue="1" operator="lessThan">
      <formula>0.001</formula>
    </cfRule>
  </conditionalFormatting>
  <conditionalFormatting sqref="BJ706">
    <cfRule type="cellIs" dxfId="2360" priority="2361" stopIfTrue="1" operator="lessThan">
      <formula>0.001</formula>
    </cfRule>
  </conditionalFormatting>
  <conditionalFormatting sqref="BJ710">
    <cfRule type="cellIs" dxfId="2359" priority="2360" stopIfTrue="1" operator="lessThan">
      <formula>0.001</formula>
    </cfRule>
  </conditionalFormatting>
  <conditionalFormatting sqref="BJ711:BJ716">
    <cfRule type="cellIs" dxfId="2358" priority="2359" stopIfTrue="1" operator="lessThan">
      <formula>0.001</formula>
    </cfRule>
  </conditionalFormatting>
  <conditionalFormatting sqref="BJ717">
    <cfRule type="cellIs" dxfId="2357" priority="2358" stopIfTrue="1" operator="lessThan">
      <formula>0.001</formula>
    </cfRule>
  </conditionalFormatting>
  <conditionalFormatting sqref="BJ718:BJ720">
    <cfRule type="cellIs" dxfId="2356" priority="2357" stopIfTrue="1" operator="lessThan">
      <formula>0.001</formula>
    </cfRule>
  </conditionalFormatting>
  <conditionalFormatting sqref="BJ721">
    <cfRule type="cellIs" dxfId="2355" priority="2356" stopIfTrue="1" operator="lessThan">
      <formula>0.001</formula>
    </cfRule>
  </conditionalFormatting>
  <conditionalFormatting sqref="BJ722:BJ724">
    <cfRule type="cellIs" dxfId="2354" priority="2355" stopIfTrue="1" operator="lessThan">
      <formula>0.001</formula>
    </cfRule>
  </conditionalFormatting>
  <conditionalFormatting sqref="BJ725">
    <cfRule type="cellIs" dxfId="2353" priority="2354" stopIfTrue="1" operator="lessThan">
      <formula>0.001</formula>
    </cfRule>
  </conditionalFormatting>
  <conditionalFormatting sqref="BJ726">
    <cfRule type="cellIs" dxfId="2352" priority="2353" stopIfTrue="1" operator="lessThan">
      <formula>0.001</formula>
    </cfRule>
  </conditionalFormatting>
  <conditionalFormatting sqref="BJ727">
    <cfRule type="cellIs" dxfId="2351" priority="2352" stopIfTrue="1" operator="lessThan">
      <formula>0.001</formula>
    </cfRule>
  </conditionalFormatting>
  <conditionalFormatting sqref="BJ728:BJ730">
    <cfRule type="cellIs" dxfId="2350" priority="2351" stopIfTrue="1" operator="lessThan">
      <formula>0.001</formula>
    </cfRule>
  </conditionalFormatting>
  <conditionalFormatting sqref="BJ731">
    <cfRule type="cellIs" dxfId="2349" priority="2350" stopIfTrue="1" operator="lessThan">
      <formula>0.001</formula>
    </cfRule>
  </conditionalFormatting>
  <conditionalFormatting sqref="BJ732">
    <cfRule type="cellIs" dxfId="2348" priority="2349" stopIfTrue="1" operator="lessThan">
      <formula>0.001</formula>
    </cfRule>
  </conditionalFormatting>
  <conditionalFormatting sqref="BJ733">
    <cfRule type="cellIs" dxfId="2347" priority="2348" stopIfTrue="1" operator="lessThan">
      <formula>0.001</formula>
    </cfRule>
  </conditionalFormatting>
  <conditionalFormatting sqref="BJ734:BJ735">
    <cfRule type="cellIs" dxfId="2346" priority="2347" stopIfTrue="1" operator="lessThan">
      <formula>0.001</formula>
    </cfRule>
  </conditionalFormatting>
  <conditionalFormatting sqref="BJ736">
    <cfRule type="cellIs" dxfId="2345" priority="2346" stopIfTrue="1" operator="lessThan">
      <formula>0.001</formula>
    </cfRule>
  </conditionalFormatting>
  <conditionalFormatting sqref="BJ737:BJ739">
    <cfRule type="cellIs" dxfId="2344" priority="2345" stopIfTrue="1" operator="lessThan">
      <formula>0.001</formula>
    </cfRule>
  </conditionalFormatting>
  <conditionalFormatting sqref="BJ681">
    <cfRule type="cellIs" dxfId="2343" priority="2344" stopIfTrue="1" operator="lessThan">
      <formula>0.001</formula>
    </cfRule>
  </conditionalFormatting>
  <conditionalFormatting sqref="BJ682">
    <cfRule type="cellIs" dxfId="2342" priority="2343" stopIfTrue="1" operator="lessThan">
      <formula>0.001</formula>
    </cfRule>
  </conditionalFormatting>
  <conditionalFormatting sqref="BJ683:BJ690">
    <cfRule type="cellIs" dxfId="2341" priority="2342" stopIfTrue="1" operator="lessThan">
      <formula>0.001</formula>
    </cfRule>
  </conditionalFormatting>
  <conditionalFormatting sqref="BJ691">
    <cfRule type="cellIs" dxfId="2340" priority="2341" stopIfTrue="1" operator="lessThan">
      <formula>0.001</formula>
    </cfRule>
  </conditionalFormatting>
  <conditionalFormatting sqref="BJ694">
    <cfRule type="cellIs" dxfId="2339" priority="2340" stopIfTrue="1" operator="lessThan">
      <formula>0.001</formula>
    </cfRule>
  </conditionalFormatting>
  <conditionalFormatting sqref="BJ695">
    <cfRule type="cellIs" dxfId="2338" priority="2339" stopIfTrue="1" operator="lessThan">
      <formula>0.001</formula>
    </cfRule>
  </conditionalFormatting>
  <conditionalFormatting sqref="BJ698">
    <cfRule type="cellIs" dxfId="2337" priority="2338" stopIfTrue="1" operator="lessThan">
      <formula>0.001</formula>
    </cfRule>
  </conditionalFormatting>
  <conditionalFormatting sqref="BJ699">
    <cfRule type="cellIs" dxfId="2336" priority="2337" stopIfTrue="1" operator="lessThan">
      <formula>0.001</formula>
    </cfRule>
  </conditionalFormatting>
  <conditionalFormatting sqref="BJ700">
    <cfRule type="cellIs" dxfId="2335" priority="2336" stopIfTrue="1" operator="lessThan">
      <formula>0.001</formula>
    </cfRule>
  </conditionalFormatting>
  <conditionalFormatting sqref="BJ701:BJ703">
    <cfRule type="cellIs" dxfId="2334" priority="2335" stopIfTrue="1" operator="lessThan">
      <formula>0.001</formula>
    </cfRule>
  </conditionalFormatting>
  <conditionalFormatting sqref="BJ704">
    <cfRule type="cellIs" dxfId="2333" priority="2334" stopIfTrue="1" operator="lessThan">
      <formula>0.001</formula>
    </cfRule>
  </conditionalFormatting>
  <conditionalFormatting sqref="BJ705">
    <cfRule type="cellIs" dxfId="2332" priority="2333" stopIfTrue="1" operator="lessThan">
      <formula>0.001</formula>
    </cfRule>
  </conditionalFormatting>
  <conditionalFormatting sqref="BJ707:BJ709">
    <cfRule type="cellIs" dxfId="2331" priority="2332" stopIfTrue="1" operator="lessThan">
      <formula>0.001</formula>
    </cfRule>
  </conditionalFormatting>
  <conditionalFormatting sqref="BJ706">
    <cfRule type="cellIs" dxfId="2330" priority="2331" stopIfTrue="1" operator="lessThan">
      <formula>0.001</formula>
    </cfRule>
  </conditionalFormatting>
  <conditionalFormatting sqref="BJ710">
    <cfRule type="cellIs" dxfId="2329" priority="2330" stopIfTrue="1" operator="lessThan">
      <formula>0.001</formula>
    </cfRule>
  </conditionalFormatting>
  <conditionalFormatting sqref="BJ711:BJ716">
    <cfRule type="cellIs" dxfId="2328" priority="2329" stopIfTrue="1" operator="lessThan">
      <formula>0.001</formula>
    </cfRule>
  </conditionalFormatting>
  <conditionalFormatting sqref="BJ717">
    <cfRule type="cellIs" dxfId="2327" priority="2328" stopIfTrue="1" operator="lessThan">
      <formula>0.001</formula>
    </cfRule>
  </conditionalFormatting>
  <conditionalFormatting sqref="BJ718:BJ720">
    <cfRule type="cellIs" dxfId="2326" priority="2327" stopIfTrue="1" operator="lessThan">
      <formula>0.001</formula>
    </cfRule>
  </conditionalFormatting>
  <conditionalFormatting sqref="BJ721">
    <cfRule type="cellIs" dxfId="2325" priority="2326" stopIfTrue="1" operator="lessThan">
      <formula>0.001</formula>
    </cfRule>
  </conditionalFormatting>
  <conditionalFormatting sqref="BJ722:BJ724">
    <cfRule type="cellIs" dxfId="2324" priority="2325" stopIfTrue="1" operator="lessThan">
      <formula>0.001</formula>
    </cfRule>
  </conditionalFormatting>
  <conditionalFormatting sqref="BJ725">
    <cfRule type="cellIs" dxfId="2323" priority="2324" stopIfTrue="1" operator="lessThan">
      <formula>0.001</formula>
    </cfRule>
  </conditionalFormatting>
  <conditionalFormatting sqref="BJ726">
    <cfRule type="cellIs" dxfId="2322" priority="2323" stopIfTrue="1" operator="lessThan">
      <formula>0.001</formula>
    </cfRule>
  </conditionalFormatting>
  <conditionalFormatting sqref="BJ727">
    <cfRule type="cellIs" dxfId="2321" priority="2322" stopIfTrue="1" operator="lessThan">
      <formula>0.001</formula>
    </cfRule>
  </conditionalFormatting>
  <conditionalFormatting sqref="BJ728:BJ730">
    <cfRule type="cellIs" dxfId="2320" priority="2321" stopIfTrue="1" operator="lessThan">
      <formula>0.001</formula>
    </cfRule>
  </conditionalFormatting>
  <conditionalFormatting sqref="BJ731">
    <cfRule type="cellIs" dxfId="2319" priority="2320" stopIfTrue="1" operator="lessThan">
      <formula>0.001</formula>
    </cfRule>
  </conditionalFormatting>
  <conditionalFormatting sqref="BJ732">
    <cfRule type="cellIs" dxfId="2318" priority="2319" stopIfTrue="1" operator="lessThan">
      <formula>0.001</formula>
    </cfRule>
  </conditionalFormatting>
  <conditionalFormatting sqref="BJ733">
    <cfRule type="cellIs" dxfId="2317" priority="2318" stopIfTrue="1" operator="lessThan">
      <formula>0.001</formula>
    </cfRule>
  </conditionalFormatting>
  <conditionalFormatting sqref="BJ734:BJ735">
    <cfRule type="cellIs" dxfId="2316" priority="2317" stopIfTrue="1" operator="lessThan">
      <formula>0.001</formula>
    </cfRule>
  </conditionalFormatting>
  <conditionalFormatting sqref="BJ736">
    <cfRule type="cellIs" dxfId="2315" priority="2316" stopIfTrue="1" operator="lessThan">
      <formula>0.001</formula>
    </cfRule>
  </conditionalFormatting>
  <conditionalFormatting sqref="BJ737:BJ739">
    <cfRule type="cellIs" dxfId="2314" priority="2315" stopIfTrue="1" operator="lessThan">
      <formula>0.001</formula>
    </cfRule>
  </conditionalFormatting>
  <conditionalFormatting sqref="BJ681:BL691 BJ694:BL695 BJ698:BL739">
    <cfRule type="cellIs" dxfId="2313" priority="2314" stopIfTrue="1" operator="lessThan">
      <formula>0.001</formula>
    </cfRule>
  </conditionalFormatting>
  <conditionalFormatting sqref="BJ681">
    <cfRule type="cellIs" dxfId="2312" priority="2313" stopIfTrue="1" operator="lessThan">
      <formula>0.001</formula>
    </cfRule>
  </conditionalFormatting>
  <conditionalFormatting sqref="BJ682">
    <cfRule type="cellIs" dxfId="2311" priority="2312" stopIfTrue="1" operator="lessThan">
      <formula>0.001</formula>
    </cfRule>
  </conditionalFormatting>
  <conditionalFormatting sqref="BJ683:BJ690">
    <cfRule type="cellIs" dxfId="2310" priority="2311" stopIfTrue="1" operator="lessThan">
      <formula>0.001</formula>
    </cfRule>
  </conditionalFormatting>
  <conditionalFormatting sqref="BJ691">
    <cfRule type="cellIs" dxfId="2309" priority="2310" stopIfTrue="1" operator="lessThan">
      <formula>0.001</formula>
    </cfRule>
  </conditionalFormatting>
  <conditionalFormatting sqref="BJ694">
    <cfRule type="cellIs" dxfId="2308" priority="2309" stopIfTrue="1" operator="lessThan">
      <formula>0.001</formula>
    </cfRule>
  </conditionalFormatting>
  <conditionalFormatting sqref="BJ695">
    <cfRule type="cellIs" dxfId="2307" priority="2308" stopIfTrue="1" operator="lessThan">
      <formula>0.001</formula>
    </cfRule>
  </conditionalFormatting>
  <conditionalFormatting sqref="BJ698">
    <cfRule type="cellIs" dxfId="2306" priority="2307" stopIfTrue="1" operator="lessThan">
      <formula>0.001</formula>
    </cfRule>
  </conditionalFormatting>
  <conditionalFormatting sqref="BJ699">
    <cfRule type="cellIs" dxfId="2305" priority="2306" stopIfTrue="1" operator="lessThan">
      <formula>0.001</formula>
    </cfRule>
  </conditionalFormatting>
  <conditionalFormatting sqref="BJ700">
    <cfRule type="cellIs" dxfId="2304" priority="2305" stopIfTrue="1" operator="lessThan">
      <formula>0.001</formula>
    </cfRule>
  </conditionalFormatting>
  <conditionalFormatting sqref="BJ701:BJ703">
    <cfRule type="cellIs" dxfId="2303" priority="2304" stopIfTrue="1" operator="lessThan">
      <formula>0.001</formula>
    </cfRule>
  </conditionalFormatting>
  <conditionalFormatting sqref="BJ704">
    <cfRule type="cellIs" dxfId="2302" priority="2303" stopIfTrue="1" operator="lessThan">
      <formula>0.001</formula>
    </cfRule>
  </conditionalFormatting>
  <conditionalFormatting sqref="BJ705">
    <cfRule type="cellIs" dxfId="2301" priority="2302" stopIfTrue="1" operator="lessThan">
      <formula>0.001</formula>
    </cfRule>
  </conditionalFormatting>
  <conditionalFormatting sqref="BJ707:BJ709">
    <cfRule type="cellIs" dxfId="2300" priority="2301" stopIfTrue="1" operator="lessThan">
      <formula>0.001</formula>
    </cfRule>
  </conditionalFormatting>
  <conditionalFormatting sqref="BJ706">
    <cfRule type="cellIs" dxfId="2299" priority="2300" stopIfTrue="1" operator="lessThan">
      <formula>0.001</formula>
    </cfRule>
  </conditionalFormatting>
  <conditionalFormatting sqref="BJ710">
    <cfRule type="cellIs" dxfId="2298" priority="2299" stopIfTrue="1" operator="lessThan">
      <formula>0.001</formula>
    </cfRule>
  </conditionalFormatting>
  <conditionalFormatting sqref="BJ711:BJ716">
    <cfRule type="cellIs" dxfId="2297" priority="2298" stopIfTrue="1" operator="lessThan">
      <formula>0.001</formula>
    </cfRule>
  </conditionalFormatting>
  <conditionalFormatting sqref="BJ717">
    <cfRule type="cellIs" dxfId="2296" priority="2297" stopIfTrue="1" operator="lessThan">
      <formula>0.001</formula>
    </cfRule>
  </conditionalFormatting>
  <conditionalFormatting sqref="BJ718:BJ720">
    <cfRule type="cellIs" dxfId="2295" priority="2296" stopIfTrue="1" operator="lessThan">
      <formula>0.001</formula>
    </cfRule>
  </conditionalFormatting>
  <conditionalFormatting sqref="BJ721">
    <cfRule type="cellIs" dxfId="2294" priority="2295" stopIfTrue="1" operator="lessThan">
      <formula>0.001</formula>
    </cfRule>
  </conditionalFormatting>
  <conditionalFormatting sqref="BJ722:BJ724">
    <cfRule type="cellIs" dxfId="2293" priority="2294" stopIfTrue="1" operator="lessThan">
      <formula>0.001</formula>
    </cfRule>
  </conditionalFormatting>
  <conditionalFormatting sqref="BJ725">
    <cfRule type="cellIs" dxfId="2292" priority="2293" stopIfTrue="1" operator="lessThan">
      <formula>0.001</formula>
    </cfRule>
  </conditionalFormatting>
  <conditionalFormatting sqref="BJ726">
    <cfRule type="cellIs" dxfId="2291" priority="2292" stopIfTrue="1" operator="lessThan">
      <formula>0.001</formula>
    </cfRule>
  </conditionalFormatting>
  <conditionalFormatting sqref="BJ727">
    <cfRule type="cellIs" dxfId="2290" priority="2291" stopIfTrue="1" operator="lessThan">
      <formula>0.001</formula>
    </cfRule>
  </conditionalFormatting>
  <conditionalFormatting sqref="BJ728:BJ730">
    <cfRule type="cellIs" dxfId="2289" priority="2290" stopIfTrue="1" operator="lessThan">
      <formula>0.001</formula>
    </cfRule>
  </conditionalFormatting>
  <conditionalFormatting sqref="BJ731">
    <cfRule type="cellIs" dxfId="2288" priority="2289" stopIfTrue="1" operator="lessThan">
      <formula>0.001</formula>
    </cfRule>
  </conditionalFormatting>
  <conditionalFormatting sqref="BJ732">
    <cfRule type="cellIs" dxfId="2287" priority="2288" stopIfTrue="1" operator="lessThan">
      <formula>0.001</formula>
    </cfRule>
  </conditionalFormatting>
  <conditionalFormatting sqref="BJ733">
    <cfRule type="cellIs" dxfId="2286" priority="2287" stopIfTrue="1" operator="lessThan">
      <formula>0.001</formula>
    </cfRule>
  </conditionalFormatting>
  <conditionalFormatting sqref="BJ734:BJ735">
    <cfRule type="cellIs" dxfId="2285" priority="2286" stopIfTrue="1" operator="lessThan">
      <formula>0.001</formula>
    </cfRule>
  </conditionalFormatting>
  <conditionalFormatting sqref="BJ736">
    <cfRule type="cellIs" dxfId="2284" priority="2285" stopIfTrue="1" operator="lessThan">
      <formula>0.001</formula>
    </cfRule>
  </conditionalFormatting>
  <conditionalFormatting sqref="BJ737:BJ739">
    <cfRule type="cellIs" dxfId="2283" priority="2284" stopIfTrue="1" operator="lessThan">
      <formula>0.001</formula>
    </cfRule>
  </conditionalFormatting>
  <conditionalFormatting sqref="BK681">
    <cfRule type="cellIs" dxfId="2282" priority="2283" stopIfTrue="1" operator="lessThan">
      <formula>0.001</formula>
    </cfRule>
  </conditionalFormatting>
  <conditionalFormatting sqref="BK682">
    <cfRule type="cellIs" dxfId="2281" priority="2282" stopIfTrue="1" operator="lessThan">
      <formula>0.001</formula>
    </cfRule>
  </conditionalFormatting>
  <conditionalFormatting sqref="BK683:BK690">
    <cfRule type="cellIs" dxfId="2280" priority="2281" stopIfTrue="1" operator="lessThan">
      <formula>0.001</formula>
    </cfRule>
  </conditionalFormatting>
  <conditionalFormatting sqref="BK691">
    <cfRule type="cellIs" dxfId="2279" priority="2280" stopIfTrue="1" operator="lessThan">
      <formula>0.001</formula>
    </cfRule>
  </conditionalFormatting>
  <conditionalFormatting sqref="BK694">
    <cfRule type="cellIs" dxfId="2278" priority="2279" stopIfTrue="1" operator="lessThan">
      <formula>0.001</formula>
    </cfRule>
  </conditionalFormatting>
  <conditionalFormatting sqref="BK695">
    <cfRule type="cellIs" dxfId="2277" priority="2278" stopIfTrue="1" operator="lessThan">
      <formula>0.001</formula>
    </cfRule>
  </conditionalFormatting>
  <conditionalFormatting sqref="BK698">
    <cfRule type="cellIs" dxfId="2276" priority="2277" stopIfTrue="1" operator="lessThan">
      <formula>0.001</formula>
    </cfRule>
  </conditionalFormatting>
  <conditionalFormatting sqref="BK699">
    <cfRule type="cellIs" dxfId="2275" priority="2276" stopIfTrue="1" operator="lessThan">
      <formula>0.001</formula>
    </cfRule>
  </conditionalFormatting>
  <conditionalFormatting sqref="BK700">
    <cfRule type="cellIs" dxfId="2274" priority="2275" stopIfTrue="1" operator="lessThan">
      <formula>0.001</formula>
    </cfRule>
  </conditionalFormatting>
  <conditionalFormatting sqref="BK701:BK703">
    <cfRule type="cellIs" dxfId="2273" priority="2274" stopIfTrue="1" operator="lessThan">
      <formula>0.001</formula>
    </cfRule>
  </conditionalFormatting>
  <conditionalFormatting sqref="BK704">
    <cfRule type="cellIs" dxfId="2272" priority="2273" stopIfTrue="1" operator="lessThan">
      <formula>0.001</formula>
    </cfRule>
  </conditionalFormatting>
  <conditionalFormatting sqref="BK705">
    <cfRule type="cellIs" dxfId="2271" priority="2272" stopIfTrue="1" operator="lessThan">
      <formula>0.001</formula>
    </cfRule>
  </conditionalFormatting>
  <conditionalFormatting sqref="BK707:BK709">
    <cfRule type="cellIs" dxfId="2270" priority="2271" stopIfTrue="1" operator="lessThan">
      <formula>0.001</formula>
    </cfRule>
  </conditionalFormatting>
  <conditionalFormatting sqref="BK706">
    <cfRule type="cellIs" dxfId="2269" priority="2270" stopIfTrue="1" operator="lessThan">
      <formula>0.001</formula>
    </cfRule>
  </conditionalFormatting>
  <conditionalFormatting sqref="BK710">
    <cfRule type="cellIs" dxfId="2268" priority="2269" stopIfTrue="1" operator="lessThan">
      <formula>0.001</formula>
    </cfRule>
  </conditionalFormatting>
  <conditionalFormatting sqref="BK711:BK716">
    <cfRule type="cellIs" dxfId="2267" priority="2268" stopIfTrue="1" operator="lessThan">
      <formula>0.001</formula>
    </cfRule>
  </conditionalFormatting>
  <conditionalFormatting sqref="BK717">
    <cfRule type="cellIs" dxfId="2266" priority="2267" stopIfTrue="1" operator="lessThan">
      <formula>0.001</formula>
    </cfRule>
  </conditionalFormatting>
  <conditionalFormatting sqref="BK718:BK720">
    <cfRule type="cellIs" dxfId="2265" priority="2266" stopIfTrue="1" operator="lessThan">
      <formula>0.001</formula>
    </cfRule>
  </conditionalFormatting>
  <conditionalFormatting sqref="BK721">
    <cfRule type="cellIs" dxfId="2264" priority="2265" stopIfTrue="1" operator="lessThan">
      <formula>0.001</formula>
    </cfRule>
  </conditionalFormatting>
  <conditionalFormatting sqref="BK722:BK724">
    <cfRule type="cellIs" dxfId="2263" priority="2264" stopIfTrue="1" operator="lessThan">
      <formula>0.001</formula>
    </cfRule>
  </conditionalFormatting>
  <conditionalFormatting sqref="BK725">
    <cfRule type="cellIs" dxfId="2262" priority="2263" stopIfTrue="1" operator="lessThan">
      <formula>0.001</formula>
    </cfRule>
  </conditionalFormatting>
  <conditionalFormatting sqref="BK726">
    <cfRule type="cellIs" dxfId="2261" priority="2262" stopIfTrue="1" operator="lessThan">
      <formula>0.001</formula>
    </cfRule>
  </conditionalFormatting>
  <conditionalFormatting sqref="BK727">
    <cfRule type="cellIs" dxfId="2260" priority="2261" stopIfTrue="1" operator="lessThan">
      <formula>0.001</formula>
    </cfRule>
  </conditionalFormatting>
  <conditionalFormatting sqref="BK728:BK730">
    <cfRule type="cellIs" dxfId="2259" priority="2260" stopIfTrue="1" operator="lessThan">
      <formula>0.001</formula>
    </cfRule>
  </conditionalFormatting>
  <conditionalFormatting sqref="BK731">
    <cfRule type="cellIs" dxfId="2258" priority="2259" stopIfTrue="1" operator="lessThan">
      <formula>0.001</formula>
    </cfRule>
  </conditionalFormatting>
  <conditionalFormatting sqref="BK732">
    <cfRule type="cellIs" dxfId="2257" priority="2258" stopIfTrue="1" operator="lessThan">
      <formula>0.001</formula>
    </cfRule>
  </conditionalFormatting>
  <conditionalFormatting sqref="BK733">
    <cfRule type="cellIs" dxfId="2256" priority="2257" stopIfTrue="1" operator="lessThan">
      <formula>0.001</formula>
    </cfRule>
  </conditionalFormatting>
  <conditionalFormatting sqref="BK734:BK735">
    <cfRule type="cellIs" dxfId="2255" priority="2256" stopIfTrue="1" operator="lessThan">
      <formula>0.001</formula>
    </cfRule>
  </conditionalFormatting>
  <conditionalFormatting sqref="BK736">
    <cfRule type="cellIs" dxfId="2254" priority="2255" stopIfTrue="1" operator="lessThan">
      <formula>0.001</formula>
    </cfRule>
  </conditionalFormatting>
  <conditionalFormatting sqref="BK737:BK739">
    <cfRule type="cellIs" dxfId="2253" priority="2254" stopIfTrue="1" operator="lessThan">
      <formula>0.001</formula>
    </cfRule>
  </conditionalFormatting>
  <conditionalFormatting sqref="BL681">
    <cfRule type="cellIs" dxfId="2252" priority="2253" stopIfTrue="1" operator="lessThan">
      <formula>0.001</formula>
    </cfRule>
  </conditionalFormatting>
  <conditionalFormatting sqref="BL682">
    <cfRule type="cellIs" dxfId="2251" priority="2252" stopIfTrue="1" operator="lessThan">
      <formula>0.001</formula>
    </cfRule>
  </conditionalFormatting>
  <conditionalFormatting sqref="BL683:BL690">
    <cfRule type="cellIs" dxfId="2250" priority="2251" stopIfTrue="1" operator="lessThan">
      <formula>0.001</formula>
    </cfRule>
  </conditionalFormatting>
  <conditionalFormatting sqref="BL691">
    <cfRule type="cellIs" dxfId="2249" priority="2250" stopIfTrue="1" operator="lessThan">
      <formula>0.001</formula>
    </cfRule>
  </conditionalFormatting>
  <conditionalFormatting sqref="BL694">
    <cfRule type="cellIs" dxfId="2248" priority="2249" stopIfTrue="1" operator="lessThan">
      <formula>0.001</formula>
    </cfRule>
  </conditionalFormatting>
  <conditionalFormatting sqref="BL695">
    <cfRule type="cellIs" dxfId="2247" priority="2248" stopIfTrue="1" operator="lessThan">
      <formula>0.001</formula>
    </cfRule>
  </conditionalFormatting>
  <conditionalFormatting sqref="BL698">
    <cfRule type="cellIs" dxfId="2246" priority="2247" stopIfTrue="1" operator="lessThan">
      <formula>0.001</formula>
    </cfRule>
  </conditionalFormatting>
  <conditionalFormatting sqref="BL699">
    <cfRule type="cellIs" dxfId="2245" priority="2246" stopIfTrue="1" operator="lessThan">
      <formula>0.001</formula>
    </cfRule>
  </conditionalFormatting>
  <conditionalFormatting sqref="BL700">
    <cfRule type="cellIs" dxfId="2244" priority="2245" stopIfTrue="1" operator="lessThan">
      <formula>0.001</formula>
    </cfRule>
  </conditionalFormatting>
  <conditionalFormatting sqref="BL701:BL703">
    <cfRule type="cellIs" dxfId="2243" priority="2244" stopIfTrue="1" operator="lessThan">
      <formula>0.001</formula>
    </cfRule>
  </conditionalFormatting>
  <conditionalFormatting sqref="BL704">
    <cfRule type="cellIs" dxfId="2242" priority="2243" stopIfTrue="1" operator="lessThan">
      <formula>0.001</formula>
    </cfRule>
  </conditionalFormatting>
  <conditionalFormatting sqref="BL705">
    <cfRule type="cellIs" dxfId="2241" priority="2242" stopIfTrue="1" operator="lessThan">
      <formula>0.001</formula>
    </cfRule>
  </conditionalFormatting>
  <conditionalFormatting sqref="BL707:BL709">
    <cfRule type="cellIs" dxfId="2240" priority="2241" stopIfTrue="1" operator="lessThan">
      <formula>0.001</formula>
    </cfRule>
  </conditionalFormatting>
  <conditionalFormatting sqref="BL706">
    <cfRule type="cellIs" dxfId="2239" priority="2240" stopIfTrue="1" operator="lessThan">
      <formula>0.001</formula>
    </cfRule>
  </conditionalFormatting>
  <conditionalFormatting sqref="BL710">
    <cfRule type="cellIs" dxfId="2238" priority="2239" stopIfTrue="1" operator="lessThan">
      <formula>0.001</formula>
    </cfRule>
  </conditionalFormatting>
  <conditionalFormatting sqref="BL711:BL716">
    <cfRule type="cellIs" dxfId="2237" priority="2238" stopIfTrue="1" operator="lessThan">
      <formula>0.001</formula>
    </cfRule>
  </conditionalFormatting>
  <conditionalFormatting sqref="BL717">
    <cfRule type="cellIs" dxfId="2236" priority="2237" stopIfTrue="1" operator="lessThan">
      <formula>0.001</formula>
    </cfRule>
  </conditionalFormatting>
  <conditionalFormatting sqref="BL718:BL720">
    <cfRule type="cellIs" dxfId="2235" priority="2236" stopIfTrue="1" operator="lessThan">
      <formula>0.001</formula>
    </cfRule>
  </conditionalFormatting>
  <conditionalFormatting sqref="BL721">
    <cfRule type="cellIs" dxfId="2234" priority="2235" stopIfTrue="1" operator="lessThan">
      <formula>0.001</formula>
    </cfRule>
  </conditionalFormatting>
  <conditionalFormatting sqref="BL722:BL724">
    <cfRule type="cellIs" dxfId="2233" priority="2234" stopIfTrue="1" operator="lessThan">
      <formula>0.001</formula>
    </cfRule>
  </conditionalFormatting>
  <conditionalFormatting sqref="BL725">
    <cfRule type="cellIs" dxfId="2232" priority="2233" stopIfTrue="1" operator="lessThan">
      <formula>0.001</formula>
    </cfRule>
  </conditionalFormatting>
  <conditionalFormatting sqref="BL726">
    <cfRule type="cellIs" dxfId="2231" priority="2232" stopIfTrue="1" operator="lessThan">
      <formula>0.001</formula>
    </cfRule>
  </conditionalFormatting>
  <conditionalFormatting sqref="BL727">
    <cfRule type="cellIs" dxfId="2230" priority="2231" stopIfTrue="1" operator="lessThan">
      <formula>0.001</formula>
    </cfRule>
  </conditionalFormatting>
  <conditionalFormatting sqref="BL728:BL730">
    <cfRule type="cellIs" dxfId="2229" priority="2230" stopIfTrue="1" operator="lessThan">
      <formula>0.001</formula>
    </cfRule>
  </conditionalFormatting>
  <conditionalFormatting sqref="BL731">
    <cfRule type="cellIs" dxfId="2228" priority="2229" stopIfTrue="1" operator="lessThan">
      <formula>0.001</formula>
    </cfRule>
  </conditionalFormatting>
  <conditionalFormatting sqref="BL732">
    <cfRule type="cellIs" dxfId="2227" priority="2228" stopIfTrue="1" operator="lessThan">
      <formula>0.001</formula>
    </cfRule>
  </conditionalFormatting>
  <conditionalFormatting sqref="BL733">
    <cfRule type="cellIs" dxfId="2226" priority="2227" stopIfTrue="1" operator="lessThan">
      <formula>0.001</formula>
    </cfRule>
  </conditionalFormatting>
  <conditionalFormatting sqref="BL734:BL735">
    <cfRule type="cellIs" dxfId="2225" priority="2226" stopIfTrue="1" operator="lessThan">
      <formula>0.001</formula>
    </cfRule>
  </conditionalFormatting>
  <conditionalFormatting sqref="BL736">
    <cfRule type="cellIs" dxfId="2224" priority="2225" stopIfTrue="1" operator="lessThan">
      <formula>0.001</formula>
    </cfRule>
  </conditionalFormatting>
  <conditionalFormatting sqref="BL737:BL739">
    <cfRule type="cellIs" dxfId="2223" priority="2224" stopIfTrue="1" operator="lessThan">
      <formula>0.001</formula>
    </cfRule>
  </conditionalFormatting>
  <conditionalFormatting sqref="BJ681">
    <cfRule type="cellIs" dxfId="2222" priority="2223" stopIfTrue="1" operator="lessThan">
      <formula>0.001</formula>
    </cfRule>
  </conditionalFormatting>
  <conditionalFormatting sqref="BJ682">
    <cfRule type="cellIs" dxfId="2221" priority="2222" stopIfTrue="1" operator="lessThan">
      <formula>0.001</formula>
    </cfRule>
  </conditionalFormatting>
  <conditionalFormatting sqref="BJ683:BJ690">
    <cfRule type="cellIs" dxfId="2220" priority="2221" stopIfTrue="1" operator="lessThan">
      <formula>0.001</formula>
    </cfRule>
  </conditionalFormatting>
  <conditionalFormatting sqref="BJ691">
    <cfRule type="cellIs" dxfId="2219" priority="2220" stopIfTrue="1" operator="lessThan">
      <formula>0.001</formula>
    </cfRule>
  </conditionalFormatting>
  <conditionalFormatting sqref="BJ694">
    <cfRule type="cellIs" dxfId="2218" priority="2219" stopIfTrue="1" operator="lessThan">
      <formula>0.001</formula>
    </cfRule>
  </conditionalFormatting>
  <conditionalFormatting sqref="BJ695">
    <cfRule type="cellIs" dxfId="2217" priority="2218" stopIfTrue="1" operator="lessThan">
      <formula>0.001</formula>
    </cfRule>
  </conditionalFormatting>
  <conditionalFormatting sqref="BJ698">
    <cfRule type="cellIs" dxfId="2216" priority="2217" stopIfTrue="1" operator="lessThan">
      <formula>0.001</formula>
    </cfRule>
  </conditionalFormatting>
  <conditionalFormatting sqref="BJ699">
    <cfRule type="cellIs" dxfId="2215" priority="2216" stopIfTrue="1" operator="lessThan">
      <formula>0.001</formula>
    </cfRule>
  </conditionalFormatting>
  <conditionalFormatting sqref="BJ700">
    <cfRule type="cellIs" dxfId="2214" priority="2215" stopIfTrue="1" operator="lessThan">
      <formula>0.001</formula>
    </cfRule>
  </conditionalFormatting>
  <conditionalFormatting sqref="BJ701:BJ703">
    <cfRule type="cellIs" dxfId="2213" priority="2214" stopIfTrue="1" operator="lessThan">
      <formula>0.001</formula>
    </cfRule>
  </conditionalFormatting>
  <conditionalFormatting sqref="BJ704">
    <cfRule type="cellIs" dxfId="2212" priority="2213" stopIfTrue="1" operator="lessThan">
      <formula>0.001</formula>
    </cfRule>
  </conditionalFormatting>
  <conditionalFormatting sqref="BJ705">
    <cfRule type="cellIs" dxfId="2211" priority="2212" stopIfTrue="1" operator="lessThan">
      <formula>0.001</formula>
    </cfRule>
  </conditionalFormatting>
  <conditionalFormatting sqref="BJ707:BJ709">
    <cfRule type="cellIs" dxfId="2210" priority="2211" stopIfTrue="1" operator="lessThan">
      <formula>0.001</formula>
    </cfRule>
  </conditionalFormatting>
  <conditionalFormatting sqref="BJ706">
    <cfRule type="cellIs" dxfId="2209" priority="2210" stopIfTrue="1" operator="lessThan">
      <formula>0.001</formula>
    </cfRule>
  </conditionalFormatting>
  <conditionalFormatting sqref="BJ710">
    <cfRule type="cellIs" dxfId="2208" priority="2209" stopIfTrue="1" operator="lessThan">
      <formula>0.001</formula>
    </cfRule>
  </conditionalFormatting>
  <conditionalFormatting sqref="BJ711:BJ716">
    <cfRule type="cellIs" dxfId="2207" priority="2208" stopIfTrue="1" operator="lessThan">
      <formula>0.001</formula>
    </cfRule>
  </conditionalFormatting>
  <conditionalFormatting sqref="BJ717">
    <cfRule type="cellIs" dxfId="2206" priority="2207" stopIfTrue="1" operator="lessThan">
      <formula>0.001</formula>
    </cfRule>
  </conditionalFormatting>
  <conditionalFormatting sqref="BJ718:BJ720">
    <cfRule type="cellIs" dxfId="2205" priority="2206" stopIfTrue="1" operator="lessThan">
      <formula>0.001</formula>
    </cfRule>
  </conditionalFormatting>
  <conditionalFormatting sqref="BJ721">
    <cfRule type="cellIs" dxfId="2204" priority="2205" stopIfTrue="1" operator="lessThan">
      <formula>0.001</formula>
    </cfRule>
  </conditionalFormatting>
  <conditionalFormatting sqref="BJ722:BJ724">
    <cfRule type="cellIs" dxfId="2203" priority="2204" stopIfTrue="1" operator="lessThan">
      <formula>0.001</formula>
    </cfRule>
  </conditionalFormatting>
  <conditionalFormatting sqref="BJ725">
    <cfRule type="cellIs" dxfId="2202" priority="2203" stopIfTrue="1" operator="lessThan">
      <formula>0.001</formula>
    </cfRule>
  </conditionalFormatting>
  <conditionalFormatting sqref="BJ726">
    <cfRule type="cellIs" dxfId="2201" priority="2202" stopIfTrue="1" operator="lessThan">
      <formula>0.001</formula>
    </cfRule>
  </conditionalFormatting>
  <conditionalFormatting sqref="BJ727">
    <cfRule type="cellIs" dxfId="2200" priority="2201" stopIfTrue="1" operator="lessThan">
      <formula>0.001</formula>
    </cfRule>
  </conditionalFormatting>
  <conditionalFormatting sqref="BJ728:BJ730">
    <cfRule type="cellIs" dxfId="2199" priority="2200" stopIfTrue="1" operator="lessThan">
      <formula>0.001</formula>
    </cfRule>
  </conditionalFormatting>
  <conditionalFormatting sqref="BJ731">
    <cfRule type="cellIs" dxfId="2198" priority="2199" stopIfTrue="1" operator="lessThan">
      <formula>0.001</formula>
    </cfRule>
  </conditionalFormatting>
  <conditionalFormatting sqref="BJ732">
    <cfRule type="cellIs" dxfId="2197" priority="2198" stopIfTrue="1" operator="lessThan">
      <formula>0.001</formula>
    </cfRule>
  </conditionalFormatting>
  <conditionalFormatting sqref="BJ733">
    <cfRule type="cellIs" dxfId="2196" priority="2197" stopIfTrue="1" operator="lessThan">
      <formula>0.001</formula>
    </cfRule>
  </conditionalFormatting>
  <conditionalFormatting sqref="BJ734:BJ735">
    <cfRule type="cellIs" dxfId="2195" priority="2196" stopIfTrue="1" operator="lessThan">
      <formula>0.001</formula>
    </cfRule>
  </conditionalFormatting>
  <conditionalFormatting sqref="BJ736">
    <cfRule type="cellIs" dxfId="2194" priority="2195" stopIfTrue="1" operator="lessThan">
      <formula>0.001</formula>
    </cfRule>
  </conditionalFormatting>
  <conditionalFormatting sqref="BJ737:BJ739">
    <cfRule type="cellIs" dxfId="2193" priority="2194" stopIfTrue="1" operator="lessThan">
      <formula>0.001</formula>
    </cfRule>
  </conditionalFormatting>
  <conditionalFormatting sqref="BJ681">
    <cfRule type="cellIs" dxfId="2192" priority="2193" stopIfTrue="1" operator="lessThan">
      <formula>0.001</formula>
    </cfRule>
  </conditionalFormatting>
  <conditionalFormatting sqref="BJ682">
    <cfRule type="cellIs" dxfId="2191" priority="2192" stopIfTrue="1" operator="lessThan">
      <formula>0.001</formula>
    </cfRule>
  </conditionalFormatting>
  <conditionalFormatting sqref="BJ683:BJ690">
    <cfRule type="cellIs" dxfId="2190" priority="2191" stopIfTrue="1" operator="lessThan">
      <formula>0.001</formula>
    </cfRule>
  </conditionalFormatting>
  <conditionalFormatting sqref="BJ691">
    <cfRule type="cellIs" dxfId="2189" priority="2190" stopIfTrue="1" operator="lessThan">
      <formula>0.001</formula>
    </cfRule>
  </conditionalFormatting>
  <conditionalFormatting sqref="BJ694">
    <cfRule type="cellIs" dxfId="2188" priority="2189" stopIfTrue="1" operator="lessThan">
      <formula>0.001</formula>
    </cfRule>
  </conditionalFormatting>
  <conditionalFormatting sqref="BJ695">
    <cfRule type="cellIs" dxfId="2187" priority="2188" stopIfTrue="1" operator="lessThan">
      <formula>0.001</formula>
    </cfRule>
  </conditionalFormatting>
  <conditionalFormatting sqref="BJ698">
    <cfRule type="cellIs" dxfId="2186" priority="2187" stopIfTrue="1" operator="lessThan">
      <formula>0.001</formula>
    </cfRule>
  </conditionalFormatting>
  <conditionalFormatting sqref="BJ699">
    <cfRule type="cellIs" dxfId="2185" priority="2186" stopIfTrue="1" operator="lessThan">
      <formula>0.001</formula>
    </cfRule>
  </conditionalFormatting>
  <conditionalFormatting sqref="BJ700">
    <cfRule type="cellIs" dxfId="2184" priority="2185" stopIfTrue="1" operator="lessThan">
      <formula>0.001</formula>
    </cfRule>
  </conditionalFormatting>
  <conditionalFormatting sqref="BJ701:BJ703">
    <cfRule type="cellIs" dxfId="2183" priority="2184" stopIfTrue="1" operator="lessThan">
      <formula>0.001</formula>
    </cfRule>
  </conditionalFormatting>
  <conditionalFormatting sqref="BJ704">
    <cfRule type="cellIs" dxfId="2182" priority="2183" stopIfTrue="1" operator="lessThan">
      <formula>0.001</formula>
    </cfRule>
  </conditionalFormatting>
  <conditionalFormatting sqref="BJ705">
    <cfRule type="cellIs" dxfId="2181" priority="2182" stopIfTrue="1" operator="lessThan">
      <formula>0.001</formula>
    </cfRule>
  </conditionalFormatting>
  <conditionalFormatting sqref="BJ707:BJ709">
    <cfRule type="cellIs" dxfId="2180" priority="2181" stopIfTrue="1" operator="lessThan">
      <formula>0.001</formula>
    </cfRule>
  </conditionalFormatting>
  <conditionalFormatting sqref="BJ706">
    <cfRule type="cellIs" dxfId="2179" priority="2180" stopIfTrue="1" operator="lessThan">
      <formula>0.001</formula>
    </cfRule>
  </conditionalFormatting>
  <conditionalFormatting sqref="BJ710">
    <cfRule type="cellIs" dxfId="2178" priority="2179" stopIfTrue="1" operator="lessThan">
      <formula>0.001</formula>
    </cfRule>
  </conditionalFormatting>
  <conditionalFormatting sqref="BJ711:BJ716">
    <cfRule type="cellIs" dxfId="2177" priority="2178" stopIfTrue="1" operator="lessThan">
      <formula>0.001</formula>
    </cfRule>
  </conditionalFormatting>
  <conditionalFormatting sqref="BJ717">
    <cfRule type="cellIs" dxfId="2176" priority="2177" stopIfTrue="1" operator="lessThan">
      <formula>0.001</formula>
    </cfRule>
  </conditionalFormatting>
  <conditionalFormatting sqref="BJ718:BJ720">
    <cfRule type="cellIs" dxfId="2175" priority="2176" stopIfTrue="1" operator="lessThan">
      <formula>0.001</formula>
    </cfRule>
  </conditionalFormatting>
  <conditionalFormatting sqref="BJ721">
    <cfRule type="cellIs" dxfId="2174" priority="2175" stopIfTrue="1" operator="lessThan">
      <formula>0.001</formula>
    </cfRule>
  </conditionalFormatting>
  <conditionalFormatting sqref="BJ722:BJ724">
    <cfRule type="cellIs" dxfId="2173" priority="2174" stopIfTrue="1" operator="lessThan">
      <formula>0.001</formula>
    </cfRule>
  </conditionalFormatting>
  <conditionalFormatting sqref="BJ725">
    <cfRule type="cellIs" dxfId="2172" priority="2173" stopIfTrue="1" operator="lessThan">
      <formula>0.001</formula>
    </cfRule>
  </conditionalFormatting>
  <conditionalFormatting sqref="BJ726">
    <cfRule type="cellIs" dxfId="2171" priority="2172" stopIfTrue="1" operator="lessThan">
      <formula>0.001</formula>
    </cfRule>
  </conditionalFormatting>
  <conditionalFormatting sqref="BJ727">
    <cfRule type="cellIs" dxfId="2170" priority="2171" stopIfTrue="1" operator="lessThan">
      <formula>0.001</formula>
    </cfRule>
  </conditionalFormatting>
  <conditionalFormatting sqref="BJ728:BJ730">
    <cfRule type="cellIs" dxfId="2169" priority="2170" stopIfTrue="1" operator="lessThan">
      <formula>0.001</formula>
    </cfRule>
  </conditionalFormatting>
  <conditionalFormatting sqref="BJ731">
    <cfRule type="cellIs" dxfId="2168" priority="2169" stopIfTrue="1" operator="lessThan">
      <formula>0.001</formula>
    </cfRule>
  </conditionalFormatting>
  <conditionalFormatting sqref="BJ732">
    <cfRule type="cellIs" dxfId="2167" priority="2168" stopIfTrue="1" operator="lessThan">
      <formula>0.001</formula>
    </cfRule>
  </conditionalFormatting>
  <conditionalFormatting sqref="BJ733">
    <cfRule type="cellIs" dxfId="2166" priority="2167" stopIfTrue="1" operator="lessThan">
      <formula>0.001</formula>
    </cfRule>
  </conditionalFormatting>
  <conditionalFormatting sqref="BJ734:BJ735">
    <cfRule type="cellIs" dxfId="2165" priority="2166" stopIfTrue="1" operator="lessThan">
      <formula>0.001</formula>
    </cfRule>
  </conditionalFormatting>
  <conditionalFormatting sqref="BJ736">
    <cfRule type="cellIs" dxfId="2164" priority="2165" stopIfTrue="1" operator="lessThan">
      <formula>0.001</formula>
    </cfRule>
  </conditionalFormatting>
  <conditionalFormatting sqref="BJ737:BJ739">
    <cfRule type="cellIs" dxfId="2163" priority="2164" stopIfTrue="1" operator="lessThan">
      <formula>0.001</formula>
    </cfRule>
  </conditionalFormatting>
  <conditionalFormatting sqref="BJ681">
    <cfRule type="cellIs" dxfId="2162" priority="2163" stopIfTrue="1" operator="lessThan">
      <formula>0.001</formula>
    </cfRule>
  </conditionalFormatting>
  <conditionalFormatting sqref="BJ682">
    <cfRule type="cellIs" dxfId="2161" priority="2162" stopIfTrue="1" operator="lessThan">
      <formula>0.001</formula>
    </cfRule>
  </conditionalFormatting>
  <conditionalFormatting sqref="BJ683:BJ690">
    <cfRule type="cellIs" dxfId="2160" priority="2161" stopIfTrue="1" operator="lessThan">
      <formula>0.001</formula>
    </cfRule>
  </conditionalFormatting>
  <conditionalFormatting sqref="BJ691">
    <cfRule type="cellIs" dxfId="2159" priority="2160" stopIfTrue="1" operator="lessThan">
      <formula>0.001</formula>
    </cfRule>
  </conditionalFormatting>
  <conditionalFormatting sqref="BJ694">
    <cfRule type="cellIs" dxfId="2158" priority="2159" stopIfTrue="1" operator="lessThan">
      <formula>0.001</formula>
    </cfRule>
  </conditionalFormatting>
  <conditionalFormatting sqref="BJ695">
    <cfRule type="cellIs" dxfId="2157" priority="2158" stopIfTrue="1" operator="lessThan">
      <formula>0.001</formula>
    </cfRule>
  </conditionalFormatting>
  <conditionalFormatting sqref="BJ698">
    <cfRule type="cellIs" dxfId="2156" priority="2157" stopIfTrue="1" operator="lessThan">
      <formula>0.001</formula>
    </cfRule>
  </conditionalFormatting>
  <conditionalFormatting sqref="BJ699">
    <cfRule type="cellIs" dxfId="2155" priority="2156" stopIfTrue="1" operator="lessThan">
      <formula>0.001</formula>
    </cfRule>
  </conditionalFormatting>
  <conditionalFormatting sqref="BJ700">
    <cfRule type="cellIs" dxfId="2154" priority="2155" stopIfTrue="1" operator="lessThan">
      <formula>0.001</formula>
    </cfRule>
  </conditionalFormatting>
  <conditionalFormatting sqref="BJ701:BJ703">
    <cfRule type="cellIs" dxfId="2153" priority="2154" stopIfTrue="1" operator="lessThan">
      <formula>0.001</formula>
    </cfRule>
  </conditionalFormatting>
  <conditionalFormatting sqref="BJ704">
    <cfRule type="cellIs" dxfId="2152" priority="2153" stopIfTrue="1" operator="lessThan">
      <formula>0.001</formula>
    </cfRule>
  </conditionalFormatting>
  <conditionalFormatting sqref="BJ705">
    <cfRule type="cellIs" dxfId="2151" priority="2152" stopIfTrue="1" operator="lessThan">
      <formula>0.001</formula>
    </cfRule>
  </conditionalFormatting>
  <conditionalFormatting sqref="BJ707:BJ709">
    <cfRule type="cellIs" dxfId="2150" priority="2151" stopIfTrue="1" operator="lessThan">
      <formula>0.001</formula>
    </cfRule>
  </conditionalFormatting>
  <conditionalFormatting sqref="BJ706">
    <cfRule type="cellIs" dxfId="2149" priority="2150" stopIfTrue="1" operator="lessThan">
      <formula>0.001</formula>
    </cfRule>
  </conditionalFormatting>
  <conditionalFormatting sqref="BJ710">
    <cfRule type="cellIs" dxfId="2148" priority="2149" stopIfTrue="1" operator="lessThan">
      <formula>0.001</formula>
    </cfRule>
  </conditionalFormatting>
  <conditionalFormatting sqref="BJ711:BJ716">
    <cfRule type="cellIs" dxfId="2147" priority="2148" stopIfTrue="1" operator="lessThan">
      <formula>0.001</formula>
    </cfRule>
  </conditionalFormatting>
  <conditionalFormatting sqref="BJ717">
    <cfRule type="cellIs" dxfId="2146" priority="2147" stopIfTrue="1" operator="lessThan">
      <formula>0.001</formula>
    </cfRule>
  </conditionalFormatting>
  <conditionalFormatting sqref="BJ718:BJ720">
    <cfRule type="cellIs" dxfId="2145" priority="2146" stopIfTrue="1" operator="lessThan">
      <formula>0.001</formula>
    </cfRule>
  </conditionalFormatting>
  <conditionalFormatting sqref="BJ721">
    <cfRule type="cellIs" dxfId="2144" priority="2145" stopIfTrue="1" operator="lessThan">
      <formula>0.001</formula>
    </cfRule>
  </conditionalFormatting>
  <conditionalFormatting sqref="BJ722:BJ724">
    <cfRule type="cellIs" dxfId="2143" priority="2144" stopIfTrue="1" operator="lessThan">
      <formula>0.001</formula>
    </cfRule>
  </conditionalFormatting>
  <conditionalFormatting sqref="BJ725">
    <cfRule type="cellIs" dxfId="2142" priority="2143" stopIfTrue="1" operator="lessThan">
      <formula>0.001</formula>
    </cfRule>
  </conditionalFormatting>
  <conditionalFormatting sqref="BJ726">
    <cfRule type="cellIs" dxfId="2141" priority="2142" stopIfTrue="1" operator="lessThan">
      <formula>0.001</formula>
    </cfRule>
  </conditionalFormatting>
  <conditionalFormatting sqref="BJ727">
    <cfRule type="cellIs" dxfId="2140" priority="2141" stopIfTrue="1" operator="lessThan">
      <formula>0.001</formula>
    </cfRule>
  </conditionalFormatting>
  <conditionalFormatting sqref="BJ728:BJ730">
    <cfRule type="cellIs" dxfId="2139" priority="2140" stopIfTrue="1" operator="lessThan">
      <formula>0.001</formula>
    </cfRule>
  </conditionalFormatting>
  <conditionalFormatting sqref="BJ731">
    <cfRule type="cellIs" dxfId="2138" priority="2139" stopIfTrue="1" operator="lessThan">
      <formula>0.001</formula>
    </cfRule>
  </conditionalFormatting>
  <conditionalFormatting sqref="BJ732">
    <cfRule type="cellIs" dxfId="2137" priority="2138" stopIfTrue="1" operator="lessThan">
      <formula>0.001</formula>
    </cfRule>
  </conditionalFormatting>
  <conditionalFormatting sqref="BJ733">
    <cfRule type="cellIs" dxfId="2136" priority="2137" stopIfTrue="1" operator="lessThan">
      <formula>0.001</formula>
    </cfRule>
  </conditionalFormatting>
  <conditionalFormatting sqref="BJ734:BJ735">
    <cfRule type="cellIs" dxfId="2135" priority="2136" stopIfTrue="1" operator="lessThan">
      <formula>0.001</formula>
    </cfRule>
  </conditionalFormatting>
  <conditionalFormatting sqref="BJ736">
    <cfRule type="cellIs" dxfId="2134" priority="2135" stopIfTrue="1" operator="lessThan">
      <formula>0.001</formula>
    </cfRule>
  </conditionalFormatting>
  <conditionalFormatting sqref="BJ737:BJ739">
    <cfRule type="cellIs" dxfId="2133" priority="2134" stopIfTrue="1" operator="lessThan">
      <formula>0.001</formula>
    </cfRule>
  </conditionalFormatting>
  <conditionalFormatting sqref="BJ681">
    <cfRule type="cellIs" dxfId="2132" priority="2133" stopIfTrue="1" operator="lessThan">
      <formula>0.001</formula>
    </cfRule>
  </conditionalFormatting>
  <conditionalFormatting sqref="BJ682">
    <cfRule type="cellIs" dxfId="2131" priority="2132" stopIfTrue="1" operator="lessThan">
      <formula>0.001</formula>
    </cfRule>
  </conditionalFormatting>
  <conditionalFormatting sqref="BJ683:BJ690">
    <cfRule type="cellIs" dxfId="2130" priority="2131" stopIfTrue="1" operator="lessThan">
      <formula>0.001</formula>
    </cfRule>
  </conditionalFormatting>
  <conditionalFormatting sqref="BJ691">
    <cfRule type="cellIs" dxfId="2129" priority="2130" stopIfTrue="1" operator="lessThan">
      <formula>0.001</formula>
    </cfRule>
  </conditionalFormatting>
  <conditionalFormatting sqref="BJ694">
    <cfRule type="cellIs" dxfId="2128" priority="2129" stopIfTrue="1" operator="lessThan">
      <formula>0.001</formula>
    </cfRule>
  </conditionalFormatting>
  <conditionalFormatting sqref="BJ695">
    <cfRule type="cellIs" dxfId="2127" priority="2128" stopIfTrue="1" operator="lessThan">
      <formula>0.001</formula>
    </cfRule>
  </conditionalFormatting>
  <conditionalFormatting sqref="BJ698">
    <cfRule type="cellIs" dxfId="2126" priority="2127" stopIfTrue="1" operator="lessThan">
      <formula>0.001</formula>
    </cfRule>
  </conditionalFormatting>
  <conditionalFormatting sqref="BJ699">
    <cfRule type="cellIs" dxfId="2125" priority="2126" stopIfTrue="1" operator="lessThan">
      <formula>0.001</formula>
    </cfRule>
  </conditionalFormatting>
  <conditionalFormatting sqref="BJ700">
    <cfRule type="cellIs" dxfId="2124" priority="2125" stopIfTrue="1" operator="lessThan">
      <formula>0.001</formula>
    </cfRule>
  </conditionalFormatting>
  <conditionalFormatting sqref="BJ701:BJ703">
    <cfRule type="cellIs" dxfId="2123" priority="2124" stopIfTrue="1" operator="lessThan">
      <formula>0.001</formula>
    </cfRule>
  </conditionalFormatting>
  <conditionalFormatting sqref="BJ704">
    <cfRule type="cellIs" dxfId="2122" priority="2123" stopIfTrue="1" operator="lessThan">
      <formula>0.001</formula>
    </cfRule>
  </conditionalFormatting>
  <conditionalFormatting sqref="BJ705">
    <cfRule type="cellIs" dxfId="2121" priority="2122" stopIfTrue="1" operator="lessThan">
      <formula>0.001</formula>
    </cfRule>
  </conditionalFormatting>
  <conditionalFormatting sqref="BJ707:BJ709">
    <cfRule type="cellIs" dxfId="2120" priority="2121" stopIfTrue="1" operator="lessThan">
      <formula>0.001</formula>
    </cfRule>
  </conditionalFormatting>
  <conditionalFormatting sqref="BJ706">
    <cfRule type="cellIs" dxfId="2119" priority="2120" stopIfTrue="1" operator="lessThan">
      <formula>0.001</formula>
    </cfRule>
  </conditionalFormatting>
  <conditionalFormatting sqref="BJ710">
    <cfRule type="cellIs" dxfId="2118" priority="2119" stopIfTrue="1" operator="lessThan">
      <formula>0.001</formula>
    </cfRule>
  </conditionalFormatting>
  <conditionalFormatting sqref="BJ711:BJ716">
    <cfRule type="cellIs" dxfId="2117" priority="2118" stopIfTrue="1" operator="lessThan">
      <formula>0.001</formula>
    </cfRule>
  </conditionalFormatting>
  <conditionalFormatting sqref="BJ717">
    <cfRule type="cellIs" dxfId="2116" priority="2117" stopIfTrue="1" operator="lessThan">
      <formula>0.001</formula>
    </cfRule>
  </conditionalFormatting>
  <conditionalFormatting sqref="BJ718:BJ720">
    <cfRule type="cellIs" dxfId="2115" priority="2116" stopIfTrue="1" operator="lessThan">
      <formula>0.001</formula>
    </cfRule>
  </conditionalFormatting>
  <conditionalFormatting sqref="BJ721">
    <cfRule type="cellIs" dxfId="2114" priority="2115" stopIfTrue="1" operator="lessThan">
      <formula>0.001</formula>
    </cfRule>
  </conditionalFormatting>
  <conditionalFormatting sqref="BJ722:BJ724">
    <cfRule type="cellIs" dxfId="2113" priority="2114" stopIfTrue="1" operator="lessThan">
      <formula>0.001</formula>
    </cfRule>
  </conditionalFormatting>
  <conditionalFormatting sqref="BJ725">
    <cfRule type="cellIs" dxfId="2112" priority="2113" stopIfTrue="1" operator="lessThan">
      <formula>0.001</formula>
    </cfRule>
  </conditionalFormatting>
  <conditionalFormatting sqref="BJ726">
    <cfRule type="cellIs" dxfId="2111" priority="2112" stopIfTrue="1" operator="lessThan">
      <formula>0.001</formula>
    </cfRule>
  </conditionalFormatting>
  <conditionalFormatting sqref="BJ727">
    <cfRule type="cellIs" dxfId="2110" priority="2111" stopIfTrue="1" operator="lessThan">
      <formula>0.001</formula>
    </cfRule>
  </conditionalFormatting>
  <conditionalFormatting sqref="BJ728:BJ730">
    <cfRule type="cellIs" dxfId="2109" priority="2110" stopIfTrue="1" operator="lessThan">
      <formula>0.001</formula>
    </cfRule>
  </conditionalFormatting>
  <conditionalFormatting sqref="BJ731">
    <cfRule type="cellIs" dxfId="2108" priority="2109" stopIfTrue="1" operator="lessThan">
      <formula>0.001</formula>
    </cfRule>
  </conditionalFormatting>
  <conditionalFormatting sqref="BJ732">
    <cfRule type="cellIs" dxfId="2107" priority="2108" stopIfTrue="1" operator="lessThan">
      <formula>0.001</formula>
    </cfRule>
  </conditionalFormatting>
  <conditionalFormatting sqref="BJ733">
    <cfRule type="cellIs" dxfId="2106" priority="2107" stopIfTrue="1" operator="lessThan">
      <formula>0.001</formula>
    </cfRule>
  </conditionalFormatting>
  <conditionalFormatting sqref="BJ734:BJ735">
    <cfRule type="cellIs" dxfId="2105" priority="2106" stopIfTrue="1" operator="lessThan">
      <formula>0.001</formula>
    </cfRule>
  </conditionalFormatting>
  <conditionalFormatting sqref="BJ736">
    <cfRule type="cellIs" dxfId="2104" priority="2105" stopIfTrue="1" operator="lessThan">
      <formula>0.001</formula>
    </cfRule>
  </conditionalFormatting>
  <conditionalFormatting sqref="BJ737:BJ739">
    <cfRule type="cellIs" dxfId="2103" priority="2104" stopIfTrue="1" operator="lessThan">
      <formula>0.001</formula>
    </cfRule>
  </conditionalFormatting>
  <conditionalFormatting sqref="BJ681">
    <cfRule type="cellIs" dxfId="2102" priority="2103" stopIfTrue="1" operator="lessThan">
      <formula>0.001</formula>
    </cfRule>
  </conditionalFormatting>
  <conditionalFormatting sqref="BJ682">
    <cfRule type="cellIs" dxfId="2101" priority="2102" stopIfTrue="1" operator="lessThan">
      <formula>0.001</formula>
    </cfRule>
  </conditionalFormatting>
  <conditionalFormatting sqref="BJ683:BJ690">
    <cfRule type="cellIs" dxfId="2100" priority="2101" stopIfTrue="1" operator="lessThan">
      <formula>0.001</formula>
    </cfRule>
  </conditionalFormatting>
  <conditionalFormatting sqref="BJ691">
    <cfRule type="cellIs" dxfId="2099" priority="2100" stopIfTrue="1" operator="lessThan">
      <formula>0.001</formula>
    </cfRule>
  </conditionalFormatting>
  <conditionalFormatting sqref="BJ694">
    <cfRule type="cellIs" dxfId="2098" priority="2099" stopIfTrue="1" operator="lessThan">
      <formula>0.001</formula>
    </cfRule>
  </conditionalFormatting>
  <conditionalFormatting sqref="BJ695">
    <cfRule type="cellIs" dxfId="2097" priority="2098" stopIfTrue="1" operator="lessThan">
      <formula>0.001</formula>
    </cfRule>
  </conditionalFormatting>
  <conditionalFormatting sqref="BJ698">
    <cfRule type="cellIs" dxfId="2096" priority="2097" stopIfTrue="1" operator="lessThan">
      <formula>0.001</formula>
    </cfRule>
  </conditionalFormatting>
  <conditionalFormatting sqref="BJ699">
    <cfRule type="cellIs" dxfId="2095" priority="2096" stopIfTrue="1" operator="lessThan">
      <formula>0.001</formula>
    </cfRule>
  </conditionalFormatting>
  <conditionalFormatting sqref="BJ700">
    <cfRule type="cellIs" dxfId="2094" priority="2095" stopIfTrue="1" operator="lessThan">
      <formula>0.001</formula>
    </cfRule>
  </conditionalFormatting>
  <conditionalFormatting sqref="BJ701:BJ703">
    <cfRule type="cellIs" dxfId="2093" priority="2094" stopIfTrue="1" operator="lessThan">
      <formula>0.001</formula>
    </cfRule>
  </conditionalFormatting>
  <conditionalFormatting sqref="BJ704">
    <cfRule type="cellIs" dxfId="2092" priority="2093" stopIfTrue="1" operator="lessThan">
      <formula>0.001</formula>
    </cfRule>
  </conditionalFormatting>
  <conditionalFormatting sqref="BJ705">
    <cfRule type="cellIs" dxfId="2091" priority="2092" stopIfTrue="1" operator="lessThan">
      <formula>0.001</formula>
    </cfRule>
  </conditionalFormatting>
  <conditionalFormatting sqref="BJ707:BJ709">
    <cfRule type="cellIs" dxfId="2090" priority="2091" stopIfTrue="1" operator="lessThan">
      <formula>0.001</formula>
    </cfRule>
  </conditionalFormatting>
  <conditionalFormatting sqref="BJ706">
    <cfRule type="cellIs" dxfId="2089" priority="2090" stopIfTrue="1" operator="lessThan">
      <formula>0.001</formula>
    </cfRule>
  </conditionalFormatting>
  <conditionalFormatting sqref="BJ710">
    <cfRule type="cellIs" dxfId="2088" priority="2089" stopIfTrue="1" operator="lessThan">
      <formula>0.001</formula>
    </cfRule>
  </conditionalFormatting>
  <conditionalFormatting sqref="BJ711:BJ716">
    <cfRule type="cellIs" dxfId="2087" priority="2088" stopIfTrue="1" operator="lessThan">
      <formula>0.001</formula>
    </cfRule>
  </conditionalFormatting>
  <conditionalFormatting sqref="BJ717">
    <cfRule type="cellIs" dxfId="2086" priority="2087" stopIfTrue="1" operator="lessThan">
      <formula>0.001</formula>
    </cfRule>
  </conditionalFormatting>
  <conditionalFormatting sqref="BJ718:BJ720">
    <cfRule type="cellIs" dxfId="2085" priority="2086" stopIfTrue="1" operator="lessThan">
      <formula>0.001</formula>
    </cfRule>
  </conditionalFormatting>
  <conditionalFormatting sqref="BJ721">
    <cfRule type="cellIs" dxfId="2084" priority="2085" stopIfTrue="1" operator="lessThan">
      <formula>0.001</formula>
    </cfRule>
  </conditionalFormatting>
  <conditionalFormatting sqref="BJ722:BJ724">
    <cfRule type="cellIs" dxfId="2083" priority="2084" stopIfTrue="1" operator="lessThan">
      <formula>0.001</formula>
    </cfRule>
  </conditionalFormatting>
  <conditionalFormatting sqref="BJ725">
    <cfRule type="cellIs" dxfId="2082" priority="2083" stopIfTrue="1" operator="lessThan">
      <formula>0.001</formula>
    </cfRule>
  </conditionalFormatting>
  <conditionalFormatting sqref="BJ726">
    <cfRule type="cellIs" dxfId="2081" priority="2082" stopIfTrue="1" operator="lessThan">
      <formula>0.001</formula>
    </cfRule>
  </conditionalFormatting>
  <conditionalFormatting sqref="BJ727">
    <cfRule type="cellIs" dxfId="2080" priority="2081" stopIfTrue="1" operator="lessThan">
      <formula>0.001</formula>
    </cfRule>
  </conditionalFormatting>
  <conditionalFormatting sqref="BJ728:BJ730">
    <cfRule type="cellIs" dxfId="2079" priority="2080" stopIfTrue="1" operator="lessThan">
      <formula>0.001</formula>
    </cfRule>
  </conditionalFormatting>
  <conditionalFormatting sqref="BJ731">
    <cfRule type="cellIs" dxfId="2078" priority="2079" stopIfTrue="1" operator="lessThan">
      <formula>0.001</formula>
    </cfRule>
  </conditionalFormatting>
  <conditionalFormatting sqref="BJ732">
    <cfRule type="cellIs" dxfId="2077" priority="2078" stopIfTrue="1" operator="lessThan">
      <formula>0.001</formula>
    </cfRule>
  </conditionalFormatting>
  <conditionalFormatting sqref="BJ733">
    <cfRule type="cellIs" dxfId="2076" priority="2077" stopIfTrue="1" operator="lessThan">
      <formula>0.001</formula>
    </cfRule>
  </conditionalFormatting>
  <conditionalFormatting sqref="BJ734:BJ735">
    <cfRule type="cellIs" dxfId="2075" priority="2076" stopIfTrue="1" operator="lessThan">
      <formula>0.001</formula>
    </cfRule>
  </conditionalFormatting>
  <conditionalFormatting sqref="BJ736">
    <cfRule type="cellIs" dxfId="2074" priority="2075" stopIfTrue="1" operator="lessThan">
      <formula>0.001</formula>
    </cfRule>
  </conditionalFormatting>
  <conditionalFormatting sqref="BJ737:BJ739">
    <cfRule type="cellIs" dxfId="2073" priority="2074" stopIfTrue="1" operator="lessThan">
      <formula>0.001</formula>
    </cfRule>
  </conditionalFormatting>
  <conditionalFormatting sqref="BJ681">
    <cfRule type="cellIs" dxfId="2072" priority="2073" stopIfTrue="1" operator="lessThan">
      <formula>0.001</formula>
    </cfRule>
  </conditionalFormatting>
  <conditionalFormatting sqref="BJ682">
    <cfRule type="cellIs" dxfId="2071" priority="2072" stopIfTrue="1" operator="lessThan">
      <formula>0.001</formula>
    </cfRule>
  </conditionalFormatting>
  <conditionalFormatting sqref="BJ683:BJ690">
    <cfRule type="cellIs" dxfId="2070" priority="2071" stopIfTrue="1" operator="lessThan">
      <formula>0.001</formula>
    </cfRule>
  </conditionalFormatting>
  <conditionalFormatting sqref="BJ691">
    <cfRule type="cellIs" dxfId="2069" priority="2070" stopIfTrue="1" operator="lessThan">
      <formula>0.001</formula>
    </cfRule>
  </conditionalFormatting>
  <conditionalFormatting sqref="BJ694">
    <cfRule type="cellIs" dxfId="2068" priority="2069" stopIfTrue="1" operator="lessThan">
      <formula>0.001</formula>
    </cfRule>
  </conditionalFormatting>
  <conditionalFormatting sqref="BJ695">
    <cfRule type="cellIs" dxfId="2067" priority="2068" stopIfTrue="1" operator="lessThan">
      <formula>0.001</formula>
    </cfRule>
  </conditionalFormatting>
  <conditionalFormatting sqref="BJ698">
    <cfRule type="cellIs" dxfId="2066" priority="2067" stopIfTrue="1" operator="lessThan">
      <formula>0.001</formula>
    </cfRule>
  </conditionalFormatting>
  <conditionalFormatting sqref="BJ699">
    <cfRule type="cellIs" dxfId="2065" priority="2066" stopIfTrue="1" operator="lessThan">
      <formula>0.001</formula>
    </cfRule>
  </conditionalFormatting>
  <conditionalFormatting sqref="BJ700">
    <cfRule type="cellIs" dxfId="2064" priority="2065" stopIfTrue="1" operator="lessThan">
      <formula>0.001</formula>
    </cfRule>
  </conditionalFormatting>
  <conditionalFormatting sqref="BJ701:BJ703">
    <cfRule type="cellIs" dxfId="2063" priority="2064" stopIfTrue="1" operator="lessThan">
      <formula>0.001</formula>
    </cfRule>
  </conditionalFormatting>
  <conditionalFormatting sqref="BJ704">
    <cfRule type="cellIs" dxfId="2062" priority="2063" stopIfTrue="1" operator="lessThan">
      <formula>0.001</formula>
    </cfRule>
  </conditionalFormatting>
  <conditionalFormatting sqref="BJ705">
    <cfRule type="cellIs" dxfId="2061" priority="2062" stopIfTrue="1" operator="lessThan">
      <formula>0.001</formula>
    </cfRule>
  </conditionalFormatting>
  <conditionalFormatting sqref="BJ707:BJ709">
    <cfRule type="cellIs" dxfId="2060" priority="2061" stopIfTrue="1" operator="lessThan">
      <formula>0.001</formula>
    </cfRule>
  </conditionalFormatting>
  <conditionalFormatting sqref="BJ706">
    <cfRule type="cellIs" dxfId="2059" priority="2060" stopIfTrue="1" operator="lessThan">
      <formula>0.001</formula>
    </cfRule>
  </conditionalFormatting>
  <conditionalFormatting sqref="BJ710">
    <cfRule type="cellIs" dxfId="2058" priority="2059" stopIfTrue="1" operator="lessThan">
      <formula>0.001</formula>
    </cfRule>
  </conditionalFormatting>
  <conditionalFormatting sqref="BJ711:BJ716">
    <cfRule type="cellIs" dxfId="2057" priority="2058" stopIfTrue="1" operator="lessThan">
      <formula>0.001</formula>
    </cfRule>
  </conditionalFormatting>
  <conditionalFormatting sqref="BJ717">
    <cfRule type="cellIs" dxfId="2056" priority="2057" stopIfTrue="1" operator="lessThan">
      <formula>0.001</formula>
    </cfRule>
  </conditionalFormatting>
  <conditionalFormatting sqref="BJ718:BJ720">
    <cfRule type="cellIs" dxfId="2055" priority="2056" stopIfTrue="1" operator="lessThan">
      <formula>0.001</formula>
    </cfRule>
  </conditionalFormatting>
  <conditionalFormatting sqref="BJ721">
    <cfRule type="cellIs" dxfId="2054" priority="2055" stopIfTrue="1" operator="lessThan">
      <formula>0.001</formula>
    </cfRule>
  </conditionalFormatting>
  <conditionalFormatting sqref="BJ722:BJ724">
    <cfRule type="cellIs" dxfId="2053" priority="2054" stopIfTrue="1" operator="lessThan">
      <formula>0.001</formula>
    </cfRule>
  </conditionalFormatting>
  <conditionalFormatting sqref="BJ725">
    <cfRule type="cellIs" dxfId="2052" priority="2053" stopIfTrue="1" operator="lessThan">
      <formula>0.001</formula>
    </cfRule>
  </conditionalFormatting>
  <conditionalFormatting sqref="BJ726">
    <cfRule type="cellIs" dxfId="2051" priority="2052" stopIfTrue="1" operator="lessThan">
      <formula>0.001</formula>
    </cfRule>
  </conditionalFormatting>
  <conditionalFormatting sqref="BJ727">
    <cfRule type="cellIs" dxfId="2050" priority="2051" stopIfTrue="1" operator="lessThan">
      <formula>0.001</formula>
    </cfRule>
  </conditionalFormatting>
  <conditionalFormatting sqref="BJ728:BJ730">
    <cfRule type="cellIs" dxfId="2049" priority="2050" stopIfTrue="1" operator="lessThan">
      <formula>0.001</formula>
    </cfRule>
  </conditionalFormatting>
  <conditionalFormatting sqref="BJ731">
    <cfRule type="cellIs" dxfId="2048" priority="2049" stopIfTrue="1" operator="lessThan">
      <formula>0.001</formula>
    </cfRule>
  </conditionalFormatting>
  <conditionalFormatting sqref="BJ732">
    <cfRule type="cellIs" dxfId="2047" priority="2048" stopIfTrue="1" operator="lessThan">
      <formula>0.001</formula>
    </cfRule>
  </conditionalFormatting>
  <conditionalFormatting sqref="BJ733">
    <cfRule type="cellIs" dxfId="2046" priority="2047" stopIfTrue="1" operator="lessThan">
      <formula>0.001</formula>
    </cfRule>
  </conditionalFormatting>
  <conditionalFormatting sqref="BJ734:BJ735">
    <cfRule type="cellIs" dxfId="2045" priority="2046" stopIfTrue="1" operator="lessThan">
      <formula>0.001</formula>
    </cfRule>
  </conditionalFormatting>
  <conditionalFormatting sqref="BJ736">
    <cfRule type="cellIs" dxfId="2044" priority="2045" stopIfTrue="1" operator="lessThan">
      <formula>0.001</formula>
    </cfRule>
  </conditionalFormatting>
  <conditionalFormatting sqref="BJ737:BJ739">
    <cfRule type="cellIs" dxfId="2043" priority="2044" stopIfTrue="1" operator="lessThan">
      <formula>0.001</formula>
    </cfRule>
  </conditionalFormatting>
  <conditionalFormatting sqref="BJ681:BL691 BJ694:BL695 BJ698:BL739">
    <cfRule type="cellIs" dxfId="2042" priority="2043" stopIfTrue="1" operator="lessThan">
      <formula>0.001</formula>
    </cfRule>
  </conditionalFormatting>
  <conditionalFormatting sqref="BJ681">
    <cfRule type="cellIs" dxfId="2041" priority="2042" stopIfTrue="1" operator="lessThan">
      <formula>0.001</formula>
    </cfRule>
  </conditionalFormatting>
  <conditionalFormatting sqref="BJ682">
    <cfRule type="cellIs" dxfId="2040" priority="2041" stopIfTrue="1" operator="lessThan">
      <formula>0.001</formula>
    </cfRule>
  </conditionalFormatting>
  <conditionalFormatting sqref="BJ683:BJ690">
    <cfRule type="cellIs" dxfId="2039" priority="2040" stopIfTrue="1" operator="lessThan">
      <formula>0.001</formula>
    </cfRule>
  </conditionalFormatting>
  <conditionalFormatting sqref="BJ691">
    <cfRule type="cellIs" dxfId="2038" priority="2039" stopIfTrue="1" operator="lessThan">
      <formula>0.001</formula>
    </cfRule>
  </conditionalFormatting>
  <conditionalFormatting sqref="BJ694">
    <cfRule type="cellIs" dxfId="2037" priority="2038" stopIfTrue="1" operator="lessThan">
      <formula>0.001</formula>
    </cfRule>
  </conditionalFormatting>
  <conditionalFormatting sqref="BJ695">
    <cfRule type="cellIs" dxfId="2036" priority="2037" stopIfTrue="1" operator="lessThan">
      <formula>0.001</formula>
    </cfRule>
  </conditionalFormatting>
  <conditionalFormatting sqref="BJ698">
    <cfRule type="cellIs" dxfId="2035" priority="2036" stopIfTrue="1" operator="lessThan">
      <formula>0.001</formula>
    </cfRule>
  </conditionalFormatting>
  <conditionalFormatting sqref="BJ699">
    <cfRule type="cellIs" dxfId="2034" priority="2035" stopIfTrue="1" operator="lessThan">
      <formula>0.001</formula>
    </cfRule>
  </conditionalFormatting>
  <conditionalFormatting sqref="BJ700">
    <cfRule type="cellIs" dxfId="2033" priority="2034" stopIfTrue="1" operator="lessThan">
      <formula>0.001</formula>
    </cfRule>
  </conditionalFormatting>
  <conditionalFormatting sqref="BJ701:BJ703">
    <cfRule type="cellIs" dxfId="2032" priority="2033" stopIfTrue="1" operator="lessThan">
      <formula>0.001</formula>
    </cfRule>
  </conditionalFormatting>
  <conditionalFormatting sqref="BJ704">
    <cfRule type="cellIs" dxfId="2031" priority="2032" stopIfTrue="1" operator="lessThan">
      <formula>0.001</formula>
    </cfRule>
  </conditionalFormatting>
  <conditionalFormatting sqref="BJ705">
    <cfRule type="cellIs" dxfId="2030" priority="2031" stopIfTrue="1" operator="lessThan">
      <formula>0.001</formula>
    </cfRule>
  </conditionalFormatting>
  <conditionalFormatting sqref="BJ707:BJ709">
    <cfRule type="cellIs" dxfId="2029" priority="2030" stopIfTrue="1" operator="lessThan">
      <formula>0.001</formula>
    </cfRule>
  </conditionalFormatting>
  <conditionalFormatting sqref="BJ706">
    <cfRule type="cellIs" dxfId="2028" priority="2029" stopIfTrue="1" operator="lessThan">
      <formula>0.001</formula>
    </cfRule>
  </conditionalFormatting>
  <conditionalFormatting sqref="BJ710">
    <cfRule type="cellIs" dxfId="2027" priority="2028" stopIfTrue="1" operator="lessThan">
      <formula>0.001</formula>
    </cfRule>
  </conditionalFormatting>
  <conditionalFormatting sqref="BJ711:BJ716">
    <cfRule type="cellIs" dxfId="2026" priority="2027" stopIfTrue="1" operator="lessThan">
      <formula>0.001</formula>
    </cfRule>
  </conditionalFormatting>
  <conditionalFormatting sqref="BJ717">
    <cfRule type="cellIs" dxfId="2025" priority="2026" stopIfTrue="1" operator="lessThan">
      <formula>0.001</formula>
    </cfRule>
  </conditionalFormatting>
  <conditionalFormatting sqref="BJ718:BJ720">
    <cfRule type="cellIs" dxfId="2024" priority="2025" stopIfTrue="1" operator="lessThan">
      <formula>0.001</formula>
    </cfRule>
  </conditionalFormatting>
  <conditionalFormatting sqref="BJ721">
    <cfRule type="cellIs" dxfId="2023" priority="2024" stopIfTrue="1" operator="lessThan">
      <formula>0.001</formula>
    </cfRule>
  </conditionalFormatting>
  <conditionalFormatting sqref="BJ722:BJ724">
    <cfRule type="cellIs" dxfId="2022" priority="2023" stopIfTrue="1" operator="lessThan">
      <formula>0.001</formula>
    </cfRule>
  </conditionalFormatting>
  <conditionalFormatting sqref="BJ725">
    <cfRule type="cellIs" dxfId="2021" priority="2022" stopIfTrue="1" operator="lessThan">
      <formula>0.001</formula>
    </cfRule>
  </conditionalFormatting>
  <conditionalFormatting sqref="BJ726">
    <cfRule type="cellIs" dxfId="2020" priority="2021" stopIfTrue="1" operator="lessThan">
      <formula>0.001</formula>
    </cfRule>
  </conditionalFormatting>
  <conditionalFormatting sqref="BJ727">
    <cfRule type="cellIs" dxfId="2019" priority="2020" stopIfTrue="1" operator="lessThan">
      <formula>0.001</formula>
    </cfRule>
  </conditionalFormatting>
  <conditionalFormatting sqref="BJ728:BJ730">
    <cfRule type="cellIs" dxfId="2018" priority="2019" stopIfTrue="1" operator="lessThan">
      <formula>0.001</formula>
    </cfRule>
  </conditionalFormatting>
  <conditionalFormatting sqref="BJ731">
    <cfRule type="cellIs" dxfId="2017" priority="2018" stopIfTrue="1" operator="lessThan">
      <formula>0.001</formula>
    </cfRule>
  </conditionalFormatting>
  <conditionalFormatting sqref="BJ732">
    <cfRule type="cellIs" dxfId="2016" priority="2017" stopIfTrue="1" operator="lessThan">
      <formula>0.001</formula>
    </cfRule>
  </conditionalFormatting>
  <conditionalFormatting sqref="BJ733">
    <cfRule type="cellIs" dxfId="2015" priority="2016" stopIfTrue="1" operator="lessThan">
      <formula>0.001</formula>
    </cfRule>
  </conditionalFormatting>
  <conditionalFormatting sqref="BJ734:BJ735">
    <cfRule type="cellIs" dxfId="2014" priority="2015" stopIfTrue="1" operator="lessThan">
      <formula>0.001</formula>
    </cfRule>
  </conditionalFormatting>
  <conditionalFormatting sqref="BJ736">
    <cfRule type="cellIs" dxfId="2013" priority="2014" stopIfTrue="1" operator="lessThan">
      <formula>0.001</formula>
    </cfRule>
  </conditionalFormatting>
  <conditionalFormatting sqref="BJ737:BJ739">
    <cfRule type="cellIs" dxfId="2012" priority="2013" stopIfTrue="1" operator="lessThan">
      <formula>0.001</formula>
    </cfRule>
  </conditionalFormatting>
  <conditionalFormatting sqref="BK681">
    <cfRule type="cellIs" dxfId="2011" priority="2012" stopIfTrue="1" operator="lessThan">
      <formula>0.001</formula>
    </cfRule>
  </conditionalFormatting>
  <conditionalFormatting sqref="BK682">
    <cfRule type="cellIs" dxfId="2010" priority="2011" stopIfTrue="1" operator="lessThan">
      <formula>0.001</formula>
    </cfRule>
  </conditionalFormatting>
  <conditionalFormatting sqref="BK683:BK690">
    <cfRule type="cellIs" dxfId="2009" priority="2010" stopIfTrue="1" operator="lessThan">
      <formula>0.001</formula>
    </cfRule>
  </conditionalFormatting>
  <conditionalFormatting sqref="BK691">
    <cfRule type="cellIs" dxfId="2008" priority="2009" stopIfTrue="1" operator="lessThan">
      <formula>0.001</formula>
    </cfRule>
  </conditionalFormatting>
  <conditionalFormatting sqref="BK694">
    <cfRule type="cellIs" dxfId="2007" priority="2008" stopIfTrue="1" operator="lessThan">
      <formula>0.001</formula>
    </cfRule>
  </conditionalFormatting>
  <conditionalFormatting sqref="BK695">
    <cfRule type="cellIs" dxfId="2006" priority="2007" stopIfTrue="1" operator="lessThan">
      <formula>0.001</formula>
    </cfRule>
  </conditionalFormatting>
  <conditionalFormatting sqref="BK698">
    <cfRule type="cellIs" dxfId="2005" priority="2006" stopIfTrue="1" operator="lessThan">
      <formula>0.001</formula>
    </cfRule>
  </conditionalFormatting>
  <conditionalFormatting sqref="BK699">
    <cfRule type="cellIs" dxfId="2004" priority="2005" stopIfTrue="1" operator="lessThan">
      <formula>0.001</formula>
    </cfRule>
  </conditionalFormatting>
  <conditionalFormatting sqref="BK700">
    <cfRule type="cellIs" dxfId="2003" priority="2004" stopIfTrue="1" operator="lessThan">
      <formula>0.001</formula>
    </cfRule>
  </conditionalFormatting>
  <conditionalFormatting sqref="BK701:BK703">
    <cfRule type="cellIs" dxfId="2002" priority="2003" stopIfTrue="1" operator="lessThan">
      <formula>0.001</formula>
    </cfRule>
  </conditionalFormatting>
  <conditionalFormatting sqref="BK704">
    <cfRule type="cellIs" dxfId="2001" priority="2002" stopIfTrue="1" operator="lessThan">
      <formula>0.001</formula>
    </cfRule>
  </conditionalFormatting>
  <conditionalFormatting sqref="BK705">
    <cfRule type="cellIs" dxfId="2000" priority="2001" stopIfTrue="1" operator="lessThan">
      <formula>0.001</formula>
    </cfRule>
  </conditionalFormatting>
  <conditionalFormatting sqref="BK707:BK709">
    <cfRule type="cellIs" dxfId="1999" priority="2000" stopIfTrue="1" operator="lessThan">
      <formula>0.001</formula>
    </cfRule>
  </conditionalFormatting>
  <conditionalFormatting sqref="BK706">
    <cfRule type="cellIs" dxfId="1998" priority="1999" stopIfTrue="1" operator="lessThan">
      <formula>0.001</formula>
    </cfRule>
  </conditionalFormatting>
  <conditionalFormatting sqref="BK710">
    <cfRule type="cellIs" dxfId="1997" priority="1998" stopIfTrue="1" operator="lessThan">
      <formula>0.001</formula>
    </cfRule>
  </conditionalFormatting>
  <conditionalFormatting sqref="BK711:BK716">
    <cfRule type="cellIs" dxfId="1996" priority="1997" stopIfTrue="1" operator="lessThan">
      <formula>0.001</formula>
    </cfRule>
  </conditionalFormatting>
  <conditionalFormatting sqref="BK717">
    <cfRule type="cellIs" dxfId="1995" priority="1996" stopIfTrue="1" operator="lessThan">
      <formula>0.001</formula>
    </cfRule>
  </conditionalFormatting>
  <conditionalFormatting sqref="BK718:BK720">
    <cfRule type="cellIs" dxfId="1994" priority="1995" stopIfTrue="1" operator="lessThan">
      <formula>0.001</formula>
    </cfRule>
  </conditionalFormatting>
  <conditionalFormatting sqref="BK721">
    <cfRule type="cellIs" dxfId="1993" priority="1994" stopIfTrue="1" operator="lessThan">
      <formula>0.001</formula>
    </cfRule>
  </conditionalFormatting>
  <conditionalFormatting sqref="BK722:BK724">
    <cfRule type="cellIs" dxfId="1992" priority="1993" stopIfTrue="1" operator="lessThan">
      <formula>0.001</formula>
    </cfRule>
  </conditionalFormatting>
  <conditionalFormatting sqref="BK725">
    <cfRule type="cellIs" dxfId="1991" priority="1992" stopIfTrue="1" operator="lessThan">
      <formula>0.001</formula>
    </cfRule>
  </conditionalFormatting>
  <conditionalFormatting sqref="BK726">
    <cfRule type="cellIs" dxfId="1990" priority="1991" stopIfTrue="1" operator="lessThan">
      <formula>0.001</formula>
    </cfRule>
  </conditionalFormatting>
  <conditionalFormatting sqref="BK727">
    <cfRule type="cellIs" dxfId="1989" priority="1990" stopIfTrue="1" operator="lessThan">
      <formula>0.001</formula>
    </cfRule>
  </conditionalFormatting>
  <conditionalFormatting sqref="BK728:BK730">
    <cfRule type="cellIs" dxfId="1988" priority="1989" stopIfTrue="1" operator="lessThan">
      <formula>0.001</formula>
    </cfRule>
  </conditionalFormatting>
  <conditionalFormatting sqref="BK731">
    <cfRule type="cellIs" dxfId="1987" priority="1988" stopIfTrue="1" operator="lessThan">
      <formula>0.001</formula>
    </cfRule>
  </conditionalFormatting>
  <conditionalFormatting sqref="BK732">
    <cfRule type="cellIs" dxfId="1986" priority="1987" stopIfTrue="1" operator="lessThan">
      <formula>0.001</formula>
    </cfRule>
  </conditionalFormatting>
  <conditionalFormatting sqref="BK733">
    <cfRule type="cellIs" dxfId="1985" priority="1986" stopIfTrue="1" operator="lessThan">
      <formula>0.001</formula>
    </cfRule>
  </conditionalFormatting>
  <conditionalFormatting sqref="BK734:BK735">
    <cfRule type="cellIs" dxfId="1984" priority="1985" stopIfTrue="1" operator="lessThan">
      <formula>0.001</formula>
    </cfRule>
  </conditionalFormatting>
  <conditionalFormatting sqref="BK736">
    <cfRule type="cellIs" dxfId="1983" priority="1984" stopIfTrue="1" operator="lessThan">
      <formula>0.001</formula>
    </cfRule>
  </conditionalFormatting>
  <conditionalFormatting sqref="BK737:BK739">
    <cfRule type="cellIs" dxfId="1982" priority="1983" stopIfTrue="1" operator="lessThan">
      <formula>0.001</formula>
    </cfRule>
  </conditionalFormatting>
  <conditionalFormatting sqref="BL681">
    <cfRule type="cellIs" dxfId="1981" priority="1982" stopIfTrue="1" operator="lessThan">
      <formula>0.001</formula>
    </cfRule>
  </conditionalFormatting>
  <conditionalFormatting sqref="BL682">
    <cfRule type="cellIs" dxfId="1980" priority="1981" stopIfTrue="1" operator="lessThan">
      <formula>0.001</formula>
    </cfRule>
  </conditionalFormatting>
  <conditionalFormatting sqref="BL683:BL690">
    <cfRule type="cellIs" dxfId="1979" priority="1980" stopIfTrue="1" operator="lessThan">
      <formula>0.001</formula>
    </cfRule>
  </conditionalFormatting>
  <conditionalFormatting sqref="BL691">
    <cfRule type="cellIs" dxfId="1978" priority="1979" stopIfTrue="1" operator="lessThan">
      <formula>0.001</formula>
    </cfRule>
  </conditionalFormatting>
  <conditionalFormatting sqref="BL694">
    <cfRule type="cellIs" dxfId="1977" priority="1978" stopIfTrue="1" operator="lessThan">
      <formula>0.001</formula>
    </cfRule>
  </conditionalFormatting>
  <conditionalFormatting sqref="BL695">
    <cfRule type="cellIs" dxfId="1976" priority="1977" stopIfTrue="1" operator="lessThan">
      <formula>0.001</formula>
    </cfRule>
  </conditionalFormatting>
  <conditionalFormatting sqref="BL698">
    <cfRule type="cellIs" dxfId="1975" priority="1976" stopIfTrue="1" operator="lessThan">
      <formula>0.001</formula>
    </cfRule>
  </conditionalFormatting>
  <conditionalFormatting sqref="BL699">
    <cfRule type="cellIs" dxfId="1974" priority="1975" stopIfTrue="1" operator="lessThan">
      <formula>0.001</formula>
    </cfRule>
  </conditionalFormatting>
  <conditionalFormatting sqref="BL700">
    <cfRule type="cellIs" dxfId="1973" priority="1974" stopIfTrue="1" operator="lessThan">
      <formula>0.001</formula>
    </cfRule>
  </conditionalFormatting>
  <conditionalFormatting sqref="BL701:BL703">
    <cfRule type="cellIs" dxfId="1972" priority="1973" stopIfTrue="1" operator="lessThan">
      <formula>0.001</formula>
    </cfRule>
  </conditionalFormatting>
  <conditionalFormatting sqref="BL704">
    <cfRule type="cellIs" dxfId="1971" priority="1972" stopIfTrue="1" operator="lessThan">
      <formula>0.001</formula>
    </cfRule>
  </conditionalFormatting>
  <conditionalFormatting sqref="BL705">
    <cfRule type="cellIs" dxfId="1970" priority="1971" stopIfTrue="1" operator="lessThan">
      <formula>0.001</formula>
    </cfRule>
  </conditionalFormatting>
  <conditionalFormatting sqref="BL707:BL709">
    <cfRule type="cellIs" dxfId="1969" priority="1970" stopIfTrue="1" operator="lessThan">
      <formula>0.001</formula>
    </cfRule>
  </conditionalFormatting>
  <conditionalFormatting sqref="BL706">
    <cfRule type="cellIs" dxfId="1968" priority="1969" stopIfTrue="1" operator="lessThan">
      <formula>0.001</formula>
    </cfRule>
  </conditionalFormatting>
  <conditionalFormatting sqref="BL710">
    <cfRule type="cellIs" dxfId="1967" priority="1968" stopIfTrue="1" operator="lessThan">
      <formula>0.001</formula>
    </cfRule>
  </conditionalFormatting>
  <conditionalFormatting sqref="BL711:BL716">
    <cfRule type="cellIs" dxfId="1966" priority="1967" stopIfTrue="1" operator="lessThan">
      <formula>0.001</formula>
    </cfRule>
  </conditionalFormatting>
  <conditionalFormatting sqref="BL717">
    <cfRule type="cellIs" dxfId="1965" priority="1966" stopIfTrue="1" operator="lessThan">
      <formula>0.001</formula>
    </cfRule>
  </conditionalFormatting>
  <conditionalFormatting sqref="BL718:BL720">
    <cfRule type="cellIs" dxfId="1964" priority="1965" stopIfTrue="1" operator="lessThan">
      <formula>0.001</formula>
    </cfRule>
  </conditionalFormatting>
  <conditionalFormatting sqref="BL721">
    <cfRule type="cellIs" dxfId="1963" priority="1964" stopIfTrue="1" operator="lessThan">
      <formula>0.001</formula>
    </cfRule>
  </conditionalFormatting>
  <conditionalFormatting sqref="BL722:BL724">
    <cfRule type="cellIs" dxfId="1962" priority="1963" stopIfTrue="1" operator="lessThan">
      <formula>0.001</formula>
    </cfRule>
  </conditionalFormatting>
  <conditionalFormatting sqref="BL725">
    <cfRule type="cellIs" dxfId="1961" priority="1962" stopIfTrue="1" operator="lessThan">
      <formula>0.001</formula>
    </cfRule>
  </conditionalFormatting>
  <conditionalFormatting sqref="BL726">
    <cfRule type="cellIs" dxfId="1960" priority="1961" stopIfTrue="1" operator="lessThan">
      <formula>0.001</formula>
    </cfRule>
  </conditionalFormatting>
  <conditionalFormatting sqref="BL727">
    <cfRule type="cellIs" dxfId="1959" priority="1960" stopIfTrue="1" operator="lessThan">
      <formula>0.001</formula>
    </cfRule>
  </conditionalFormatting>
  <conditionalFormatting sqref="BL728:BL730">
    <cfRule type="cellIs" dxfId="1958" priority="1959" stopIfTrue="1" operator="lessThan">
      <formula>0.001</formula>
    </cfRule>
  </conditionalFormatting>
  <conditionalFormatting sqref="BL731">
    <cfRule type="cellIs" dxfId="1957" priority="1958" stopIfTrue="1" operator="lessThan">
      <formula>0.001</formula>
    </cfRule>
  </conditionalFormatting>
  <conditionalFormatting sqref="BL732">
    <cfRule type="cellIs" dxfId="1956" priority="1957" stopIfTrue="1" operator="lessThan">
      <formula>0.001</formula>
    </cfRule>
  </conditionalFormatting>
  <conditionalFormatting sqref="BL733">
    <cfRule type="cellIs" dxfId="1955" priority="1956" stopIfTrue="1" operator="lessThan">
      <formula>0.001</formula>
    </cfRule>
  </conditionalFormatting>
  <conditionalFormatting sqref="BL734:BL735">
    <cfRule type="cellIs" dxfId="1954" priority="1955" stopIfTrue="1" operator="lessThan">
      <formula>0.001</formula>
    </cfRule>
  </conditionalFormatting>
  <conditionalFormatting sqref="BL736">
    <cfRule type="cellIs" dxfId="1953" priority="1954" stopIfTrue="1" operator="lessThan">
      <formula>0.001</formula>
    </cfRule>
  </conditionalFormatting>
  <conditionalFormatting sqref="BL737:BL739">
    <cfRule type="cellIs" dxfId="1952" priority="1953" stopIfTrue="1" operator="lessThan">
      <formula>0.001</formula>
    </cfRule>
  </conditionalFormatting>
  <conditionalFormatting sqref="BG681">
    <cfRule type="cellIs" dxfId="1951" priority="1952" stopIfTrue="1" operator="lessThan">
      <formula>0.001</formula>
    </cfRule>
  </conditionalFormatting>
  <conditionalFormatting sqref="BG682">
    <cfRule type="cellIs" dxfId="1950" priority="1951" stopIfTrue="1" operator="lessThan">
      <formula>0.001</formula>
    </cfRule>
  </conditionalFormatting>
  <conditionalFormatting sqref="BG683:BG690">
    <cfRule type="cellIs" dxfId="1949" priority="1950" stopIfTrue="1" operator="lessThan">
      <formula>0.001</formula>
    </cfRule>
  </conditionalFormatting>
  <conditionalFormatting sqref="BG691">
    <cfRule type="cellIs" dxfId="1948" priority="1949" stopIfTrue="1" operator="lessThan">
      <formula>0.001</formula>
    </cfRule>
  </conditionalFormatting>
  <conditionalFormatting sqref="BG694">
    <cfRule type="cellIs" dxfId="1947" priority="1948" stopIfTrue="1" operator="lessThan">
      <formula>0.001</formula>
    </cfRule>
  </conditionalFormatting>
  <conditionalFormatting sqref="BG695">
    <cfRule type="cellIs" dxfId="1946" priority="1947" stopIfTrue="1" operator="lessThan">
      <formula>0.001</formula>
    </cfRule>
  </conditionalFormatting>
  <conditionalFormatting sqref="BG698">
    <cfRule type="cellIs" dxfId="1945" priority="1946" stopIfTrue="1" operator="lessThan">
      <formula>0.001</formula>
    </cfRule>
  </conditionalFormatting>
  <conditionalFormatting sqref="BG699">
    <cfRule type="cellIs" dxfId="1944" priority="1945" stopIfTrue="1" operator="lessThan">
      <formula>0.001</formula>
    </cfRule>
  </conditionalFormatting>
  <conditionalFormatting sqref="BG700">
    <cfRule type="cellIs" dxfId="1943" priority="1944" stopIfTrue="1" operator="lessThan">
      <formula>0.001</formula>
    </cfRule>
  </conditionalFormatting>
  <conditionalFormatting sqref="BG701:BG703">
    <cfRule type="cellIs" dxfId="1942" priority="1943" stopIfTrue="1" operator="lessThan">
      <formula>0.001</formula>
    </cfRule>
  </conditionalFormatting>
  <conditionalFormatting sqref="BG704">
    <cfRule type="cellIs" dxfId="1941" priority="1942" stopIfTrue="1" operator="lessThan">
      <formula>0.001</formula>
    </cfRule>
  </conditionalFormatting>
  <conditionalFormatting sqref="BG705">
    <cfRule type="cellIs" dxfId="1940" priority="1941" stopIfTrue="1" operator="lessThan">
      <formula>0.001</formula>
    </cfRule>
  </conditionalFormatting>
  <conditionalFormatting sqref="BG707:BG709">
    <cfRule type="cellIs" dxfId="1939" priority="1940" stopIfTrue="1" operator="lessThan">
      <formula>0.001</formula>
    </cfRule>
  </conditionalFormatting>
  <conditionalFormatting sqref="BG706">
    <cfRule type="cellIs" dxfId="1938" priority="1939" stopIfTrue="1" operator="lessThan">
      <formula>0.001</formula>
    </cfRule>
  </conditionalFormatting>
  <conditionalFormatting sqref="BG710">
    <cfRule type="cellIs" dxfId="1937" priority="1938" stopIfTrue="1" operator="lessThan">
      <formula>0.001</formula>
    </cfRule>
  </conditionalFormatting>
  <conditionalFormatting sqref="BG711:BG716">
    <cfRule type="cellIs" dxfId="1936" priority="1937" stopIfTrue="1" operator="lessThan">
      <formula>0.001</formula>
    </cfRule>
  </conditionalFormatting>
  <conditionalFormatting sqref="BG717">
    <cfRule type="cellIs" dxfId="1935" priority="1936" stopIfTrue="1" operator="lessThan">
      <formula>0.001</formula>
    </cfRule>
  </conditionalFormatting>
  <conditionalFormatting sqref="BG718:BG720">
    <cfRule type="cellIs" dxfId="1934" priority="1935" stopIfTrue="1" operator="lessThan">
      <formula>0.001</formula>
    </cfRule>
  </conditionalFormatting>
  <conditionalFormatting sqref="BG721">
    <cfRule type="cellIs" dxfId="1933" priority="1934" stopIfTrue="1" operator="lessThan">
      <formula>0.001</formula>
    </cfRule>
  </conditionalFormatting>
  <conditionalFormatting sqref="BG722:BG724">
    <cfRule type="cellIs" dxfId="1932" priority="1933" stopIfTrue="1" operator="lessThan">
      <formula>0.001</formula>
    </cfRule>
  </conditionalFormatting>
  <conditionalFormatting sqref="BG725">
    <cfRule type="cellIs" dxfId="1931" priority="1932" stopIfTrue="1" operator="lessThan">
      <formula>0.001</formula>
    </cfRule>
  </conditionalFormatting>
  <conditionalFormatting sqref="BG726">
    <cfRule type="cellIs" dxfId="1930" priority="1931" stopIfTrue="1" operator="lessThan">
      <formula>0.001</formula>
    </cfRule>
  </conditionalFormatting>
  <conditionalFormatting sqref="BG727">
    <cfRule type="cellIs" dxfId="1929" priority="1930" stopIfTrue="1" operator="lessThan">
      <formula>0.001</formula>
    </cfRule>
  </conditionalFormatting>
  <conditionalFormatting sqref="BG728:BG730">
    <cfRule type="cellIs" dxfId="1928" priority="1929" stopIfTrue="1" operator="lessThan">
      <formula>0.001</formula>
    </cfRule>
  </conditionalFormatting>
  <conditionalFormatting sqref="BG731">
    <cfRule type="cellIs" dxfId="1927" priority="1928" stopIfTrue="1" operator="lessThan">
      <formula>0.001</formula>
    </cfRule>
  </conditionalFormatting>
  <conditionalFormatting sqref="BG732">
    <cfRule type="cellIs" dxfId="1926" priority="1927" stopIfTrue="1" operator="lessThan">
      <formula>0.001</formula>
    </cfRule>
  </conditionalFormatting>
  <conditionalFormatting sqref="BG733">
    <cfRule type="cellIs" dxfId="1925" priority="1926" stopIfTrue="1" operator="lessThan">
      <formula>0.001</formula>
    </cfRule>
  </conditionalFormatting>
  <conditionalFormatting sqref="BG734:BG735">
    <cfRule type="cellIs" dxfId="1924" priority="1925" stopIfTrue="1" operator="lessThan">
      <formula>0.001</formula>
    </cfRule>
  </conditionalFormatting>
  <conditionalFormatting sqref="BG736">
    <cfRule type="cellIs" dxfId="1923" priority="1924" stopIfTrue="1" operator="lessThan">
      <formula>0.001</formula>
    </cfRule>
  </conditionalFormatting>
  <conditionalFormatting sqref="BG737:BG739">
    <cfRule type="cellIs" dxfId="1922" priority="1923" stopIfTrue="1" operator="lessThan">
      <formula>0.001</formula>
    </cfRule>
  </conditionalFormatting>
  <conditionalFormatting sqref="BG681">
    <cfRule type="cellIs" dxfId="1921" priority="1922" stopIfTrue="1" operator="lessThan">
      <formula>0.001</formula>
    </cfRule>
  </conditionalFormatting>
  <conditionalFormatting sqref="BG682">
    <cfRule type="cellIs" dxfId="1920" priority="1921" stopIfTrue="1" operator="lessThan">
      <formula>0.001</formula>
    </cfRule>
  </conditionalFormatting>
  <conditionalFormatting sqref="BG683:BG690">
    <cfRule type="cellIs" dxfId="1919" priority="1920" stopIfTrue="1" operator="lessThan">
      <formula>0.001</formula>
    </cfRule>
  </conditionalFormatting>
  <conditionalFormatting sqref="BG691">
    <cfRule type="cellIs" dxfId="1918" priority="1919" stopIfTrue="1" operator="lessThan">
      <formula>0.001</formula>
    </cfRule>
  </conditionalFormatting>
  <conditionalFormatting sqref="BG694">
    <cfRule type="cellIs" dxfId="1917" priority="1918" stopIfTrue="1" operator="lessThan">
      <formula>0.001</formula>
    </cfRule>
  </conditionalFormatting>
  <conditionalFormatting sqref="BG695">
    <cfRule type="cellIs" dxfId="1916" priority="1917" stopIfTrue="1" operator="lessThan">
      <formula>0.001</formula>
    </cfRule>
  </conditionalFormatting>
  <conditionalFormatting sqref="BG698">
    <cfRule type="cellIs" dxfId="1915" priority="1916" stopIfTrue="1" operator="lessThan">
      <formula>0.001</formula>
    </cfRule>
  </conditionalFormatting>
  <conditionalFormatting sqref="BG699">
    <cfRule type="cellIs" dxfId="1914" priority="1915" stopIfTrue="1" operator="lessThan">
      <formula>0.001</formula>
    </cfRule>
  </conditionalFormatting>
  <conditionalFormatting sqref="BG700">
    <cfRule type="cellIs" dxfId="1913" priority="1914" stopIfTrue="1" operator="lessThan">
      <formula>0.001</formula>
    </cfRule>
  </conditionalFormatting>
  <conditionalFormatting sqref="BG701:BG703">
    <cfRule type="cellIs" dxfId="1912" priority="1913" stopIfTrue="1" operator="lessThan">
      <formula>0.001</formula>
    </cfRule>
  </conditionalFormatting>
  <conditionalFormatting sqref="BG704">
    <cfRule type="cellIs" dxfId="1911" priority="1912" stopIfTrue="1" operator="lessThan">
      <formula>0.001</formula>
    </cfRule>
  </conditionalFormatting>
  <conditionalFormatting sqref="BG705">
    <cfRule type="cellIs" dxfId="1910" priority="1911" stopIfTrue="1" operator="lessThan">
      <formula>0.001</formula>
    </cfRule>
  </conditionalFormatting>
  <conditionalFormatting sqref="BG707:BG709">
    <cfRule type="cellIs" dxfId="1909" priority="1910" stopIfTrue="1" operator="lessThan">
      <formula>0.001</formula>
    </cfRule>
  </conditionalFormatting>
  <conditionalFormatting sqref="BG706">
    <cfRule type="cellIs" dxfId="1908" priority="1909" stopIfTrue="1" operator="lessThan">
      <formula>0.001</formula>
    </cfRule>
  </conditionalFormatting>
  <conditionalFormatting sqref="BG710">
    <cfRule type="cellIs" dxfId="1907" priority="1908" stopIfTrue="1" operator="lessThan">
      <formula>0.001</formula>
    </cfRule>
  </conditionalFormatting>
  <conditionalFormatting sqref="BG711:BG716">
    <cfRule type="cellIs" dxfId="1906" priority="1907" stopIfTrue="1" operator="lessThan">
      <formula>0.001</formula>
    </cfRule>
  </conditionalFormatting>
  <conditionalFormatting sqref="BG717">
    <cfRule type="cellIs" dxfId="1905" priority="1906" stopIfTrue="1" operator="lessThan">
      <formula>0.001</formula>
    </cfRule>
  </conditionalFormatting>
  <conditionalFormatting sqref="BG718:BG720">
    <cfRule type="cellIs" dxfId="1904" priority="1905" stopIfTrue="1" operator="lessThan">
      <formula>0.001</formula>
    </cfRule>
  </conditionalFormatting>
  <conditionalFormatting sqref="BG721">
    <cfRule type="cellIs" dxfId="1903" priority="1904" stopIfTrue="1" operator="lessThan">
      <formula>0.001</formula>
    </cfRule>
  </conditionalFormatting>
  <conditionalFormatting sqref="BG722:BG724">
    <cfRule type="cellIs" dxfId="1902" priority="1903" stopIfTrue="1" operator="lessThan">
      <formula>0.001</formula>
    </cfRule>
  </conditionalFormatting>
  <conditionalFormatting sqref="BG725">
    <cfRule type="cellIs" dxfId="1901" priority="1902" stopIfTrue="1" operator="lessThan">
      <formula>0.001</formula>
    </cfRule>
  </conditionalFormatting>
  <conditionalFormatting sqref="BG726">
    <cfRule type="cellIs" dxfId="1900" priority="1901" stopIfTrue="1" operator="lessThan">
      <formula>0.001</formula>
    </cfRule>
  </conditionalFormatting>
  <conditionalFormatting sqref="BG727">
    <cfRule type="cellIs" dxfId="1899" priority="1900" stopIfTrue="1" operator="lessThan">
      <formula>0.001</formula>
    </cfRule>
  </conditionalFormatting>
  <conditionalFormatting sqref="BG728:BG730">
    <cfRule type="cellIs" dxfId="1898" priority="1899" stopIfTrue="1" operator="lessThan">
      <formula>0.001</formula>
    </cfRule>
  </conditionalFormatting>
  <conditionalFormatting sqref="BG731">
    <cfRule type="cellIs" dxfId="1897" priority="1898" stopIfTrue="1" operator="lessThan">
      <formula>0.001</formula>
    </cfRule>
  </conditionalFormatting>
  <conditionalFormatting sqref="BG732">
    <cfRule type="cellIs" dxfId="1896" priority="1897" stopIfTrue="1" operator="lessThan">
      <formula>0.001</formula>
    </cfRule>
  </conditionalFormatting>
  <conditionalFormatting sqref="BG733">
    <cfRule type="cellIs" dxfId="1895" priority="1896" stopIfTrue="1" operator="lessThan">
      <formula>0.001</formula>
    </cfRule>
  </conditionalFormatting>
  <conditionalFormatting sqref="BG734:BG735">
    <cfRule type="cellIs" dxfId="1894" priority="1895" stopIfTrue="1" operator="lessThan">
      <formula>0.001</formula>
    </cfRule>
  </conditionalFormatting>
  <conditionalFormatting sqref="BG736">
    <cfRule type="cellIs" dxfId="1893" priority="1894" stopIfTrue="1" operator="lessThan">
      <formula>0.001</formula>
    </cfRule>
  </conditionalFormatting>
  <conditionalFormatting sqref="BG737:BG739">
    <cfRule type="cellIs" dxfId="1892" priority="1893" stopIfTrue="1" operator="lessThan">
      <formula>0.001</formula>
    </cfRule>
  </conditionalFormatting>
  <conditionalFormatting sqref="BH681">
    <cfRule type="cellIs" dxfId="1891" priority="1892" stopIfTrue="1" operator="lessThan">
      <formula>0.001</formula>
    </cfRule>
  </conditionalFormatting>
  <conditionalFormatting sqref="BH682">
    <cfRule type="cellIs" dxfId="1890" priority="1891" stopIfTrue="1" operator="lessThan">
      <formula>0.001</formula>
    </cfRule>
  </conditionalFormatting>
  <conditionalFormatting sqref="BH683:BH690">
    <cfRule type="cellIs" dxfId="1889" priority="1890" stopIfTrue="1" operator="lessThan">
      <formula>0.001</formula>
    </cfRule>
  </conditionalFormatting>
  <conditionalFormatting sqref="BH691">
    <cfRule type="cellIs" dxfId="1888" priority="1889" stopIfTrue="1" operator="lessThan">
      <formula>0.001</formula>
    </cfRule>
  </conditionalFormatting>
  <conditionalFormatting sqref="BH694">
    <cfRule type="cellIs" dxfId="1887" priority="1888" stopIfTrue="1" operator="lessThan">
      <formula>0.001</formula>
    </cfRule>
  </conditionalFormatting>
  <conditionalFormatting sqref="BH695">
    <cfRule type="cellIs" dxfId="1886" priority="1887" stopIfTrue="1" operator="lessThan">
      <formula>0.001</formula>
    </cfRule>
  </conditionalFormatting>
  <conditionalFormatting sqref="BH698">
    <cfRule type="cellIs" dxfId="1885" priority="1886" stopIfTrue="1" operator="lessThan">
      <formula>0.001</formula>
    </cfRule>
  </conditionalFormatting>
  <conditionalFormatting sqref="BH699">
    <cfRule type="cellIs" dxfId="1884" priority="1885" stopIfTrue="1" operator="lessThan">
      <formula>0.001</formula>
    </cfRule>
  </conditionalFormatting>
  <conditionalFormatting sqref="BH700">
    <cfRule type="cellIs" dxfId="1883" priority="1884" stopIfTrue="1" operator="lessThan">
      <formula>0.001</formula>
    </cfRule>
  </conditionalFormatting>
  <conditionalFormatting sqref="BH701:BH703">
    <cfRule type="cellIs" dxfId="1882" priority="1883" stopIfTrue="1" operator="lessThan">
      <formula>0.001</formula>
    </cfRule>
  </conditionalFormatting>
  <conditionalFormatting sqref="BH704">
    <cfRule type="cellIs" dxfId="1881" priority="1882" stopIfTrue="1" operator="lessThan">
      <formula>0.001</formula>
    </cfRule>
  </conditionalFormatting>
  <conditionalFormatting sqref="BH705">
    <cfRule type="cellIs" dxfId="1880" priority="1881" stopIfTrue="1" operator="lessThan">
      <formula>0.001</formula>
    </cfRule>
  </conditionalFormatting>
  <conditionalFormatting sqref="BH707:BH709">
    <cfRule type="cellIs" dxfId="1879" priority="1880" stopIfTrue="1" operator="lessThan">
      <formula>0.001</formula>
    </cfRule>
  </conditionalFormatting>
  <conditionalFormatting sqref="BH706">
    <cfRule type="cellIs" dxfId="1878" priority="1879" stopIfTrue="1" operator="lessThan">
      <formula>0.001</formula>
    </cfRule>
  </conditionalFormatting>
  <conditionalFormatting sqref="BH710">
    <cfRule type="cellIs" dxfId="1877" priority="1878" stopIfTrue="1" operator="lessThan">
      <formula>0.001</formula>
    </cfRule>
  </conditionalFormatting>
  <conditionalFormatting sqref="BH711:BH716">
    <cfRule type="cellIs" dxfId="1876" priority="1877" stopIfTrue="1" operator="lessThan">
      <formula>0.001</formula>
    </cfRule>
  </conditionalFormatting>
  <conditionalFormatting sqref="BH717">
    <cfRule type="cellIs" dxfId="1875" priority="1876" stopIfTrue="1" operator="lessThan">
      <formula>0.001</formula>
    </cfRule>
  </conditionalFormatting>
  <conditionalFormatting sqref="BH718:BH720">
    <cfRule type="cellIs" dxfId="1874" priority="1875" stopIfTrue="1" operator="lessThan">
      <formula>0.001</formula>
    </cfRule>
  </conditionalFormatting>
  <conditionalFormatting sqref="BH721">
    <cfRule type="cellIs" dxfId="1873" priority="1874" stopIfTrue="1" operator="lessThan">
      <formula>0.001</formula>
    </cfRule>
  </conditionalFormatting>
  <conditionalFormatting sqref="BH722:BH724">
    <cfRule type="cellIs" dxfId="1872" priority="1873" stopIfTrue="1" operator="lessThan">
      <formula>0.001</formula>
    </cfRule>
  </conditionalFormatting>
  <conditionalFormatting sqref="BH725">
    <cfRule type="cellIs" dxfId="1871" priority="1872" stopIfTrue="1" operator="lessThan">
      <formula>0.001</formula>
    </cfRule>
  </conditionalFormatting>
  <conditionalFormatting sqref="BH726">
    <cfRule type="cellIs" dxfId="1870" priority="1871" stopIfTrue="1" operator="lessThan">
      <formula>0.001</formula>
    </cfRule>
  </conditionalFormatting>
  <conditionalFormatting sqref="BH727">
    <cfRule type="cellIs" dxfId="1869" priority="1870" stopIfTrue="1" operator="lessThan">
      <formula>0.001</formula>
    </cfRule>
  </conditionalFormatting>
  <conditionalFormatting sqref="BH728:BH730">
    <cfRule type="cellIs" dxfId="1868" priority="1869" stopIfTrue="1" operator="lessThan">
      <formula>0.001</formula>
    </cfRule>
  </conditionalFormatting>
  <conditionalFormatting sqref="BH731">
    <cfRule type="cellIs" dxfId="1867" priority="1868" stopIfTrue="1" operator="lessThan">
      <formula>0.001</formula>
    </cfRule>
  </conditionalFormatting>
  <conditionalFormatting sqref="BH732">
    <cfRule type="cellIs" dxfId="1866" priority="1867" stopIfTrue="1" operator="lessThan">
      <formula>0.001</formula>
    </cfRule>
  </conditionalFormatting>
  <conditionalFormatting sqref="BH733">
    <cfRule type="cellIs" dxfId="1865" priority="1866" stopIfTrue="1" operator="lessThan">
      <formula>0.001</formula>
    </cfRule>
  </conditionalFormatting>
  <conditionalFormatting sqref="BH734:BH735">
    <cfRule type="cellIs" dxfId="1864" priority="1865" stopIfTrue="1" operator="lessThan">
      <formula>0.001</formula>
    </cfRule>
  </conditionalFormatting>
  <conditionalFormatting sqref="BH736">
    <cfRule type="cellIs" dxfId="1863" priority="1864" stopIfTrue="1" operator="lessThan">
      <formula>0.001</formula>
    </cfRule>
  </conditionalFormatting>
  <conditionalFormatting sqref="BH737:BH739">
    <cfRule type="cellIs" dxfId="1862" priority="1863" stopIfTrue="1" operator="lessThan">
      <formula>0.001</formula>
    </cfRule>
  </conditionalFormatting>
  <conditionalFormatting sqref="BH681">
    <cfRule type="cellIs" dxfId="1861" priority="1862" stopIfTrue="1" operator="lessThan">
      <formula>0.001</formula>
    </cfRule>
  </conditionalFormatting>
  <conditionalFormatting sqref="BH682">
    <cfRule type="cellIs" dxfId="1860" priority="1861" stopIfTrue="1" operator="lessThan">
      <formula>0.001</formula>
    </cfRule>
  </conditionalFormatting>
  <conditionalFormatting sqref="BH683:BH690">
    <cfRule type="cellIs" dxfId="1859" priority="1860" stopIfTrue="1" operator="lessThan">
      <formula>0.001</formula>
    </cfRule>
  </conditionalFormatting>
  <conditionalFormatting sqref="BH691">
    <cfRule type="cellIs" dxfId="1858" priority="1859" stopIfTrue="1" operator="lessThan">
      <formula>0.001</formula>
    </cfRule>
  </conditionalFormatting>
  <conditionalFormatting sqref="BH694">
    <cfRule type="cellIs" dxfId="1857" priority="1858" stopIfTrue="1" operator="lessThan">
      <formula>0.001</formula>
    </cfRule>
  </conditionalFormatting>
  <conditionalFormatting sqref="BH695">
    <cfRule type="cellIs" dxfId="1856" priority="1857" stopIfTrue="1" operator="lessThan">
      <formula>0.001</formula>
    </cfRule>
  </conditionalFormatting>
  <conditionalFormatting sqref="BH698">
    <cfRule type="cellIs" dxfId="1855" priority="1856" stopIfTrue="1" operator="lessThan">
      <formula>0.001</formula>
    </cfRule>
  </conditionalFormatting>
  <conditionalFormatting sqref="BH699">
    <cfRule type="cellIs" dxfId="1854" priority="1855" stopIfTrue="1" operator="lessThan">
      <formula>0.001</formula>
    </cfRule>
  </conditionalFormatting>
  <conditionalFormatting sqref="BH700">
    <cfRule type="cellIs" dxfId="1853" priority="1854" stopIfTrue="1" operator="lessThan">
      <formula>0.001</formula>
    </cfRule>
  </conditionalFormatting>
  <conditionalFormatting sqref="BH701:BH703">
    <cfRule type="cellIs" dxfId="1852" priority="1853" stopIfTrue="1" operator="lessThan">
      <formula>0.001</formula>
    </cfRule>
  </conditionalFormatting>
  <conditionalFormatting sqref="BH704">
    <cfRule type="cellIs" dxfId="1851" priority="1852" stopIfTrue="1" operator="lessThan">
      <formula>0.001</formula>
    </cfRule>
  </conditionalFormatting>
  <conditionalFormatting sqref="BH705">
    <cfRule type="cellIs" dxfId="1850" priority="1851" stopIfTrue="1" operator="lessThan">
      <formula>0.001</formula>
    </cfRule>
  </conditionalFormatting>
  <conditionalFormatting sqref="BH707:BH709">
    <cfRule type="cellIs" dxfId="1849" priority="1850" stopIfTrue="1" operator="lessThan">
      <formula>0.001</formula>
    </cfRule>
  </conditionalFormatting>
  <conditionalFormatting sqref="BH706">
    <cfRule type="cellIs" dxfId="1848" priority="1849" stopIfTrue="1" operator="lessThan">
      <formula>0.001</formula>
    </cfRule>
  </conditionalFormatting>
  <conditionalFormatting sqref="BH710">
    <cfRule type="cellIs" dxfId="1847" priority="1848" stopIfTrue="1" operator="lessThan">
      <formula>0.001</formula>
    </cfRule>
  </conditionalFormatting>
  <conditionalFormatting sqref="BH711:BH716">
    <cfRule type="cellIs" dxfId="1846" priority="1847" stopIfTrue="1" operator="lessThan">
      <formula>0.001</formula>
    </cfRule>
  </conditionalFormatting>
  <conditionalFormatting sqref="BH717">
    <cfRule type="cellIs" dxfId="1845" priority="1846" stopIfTrue="1" operator="lessThan">
      <formula>0.001</formula>
    </cfRule>
  </conditionalFormatting>
  <conditionalFormatting sqref="BH718:BH720">
    <cfRule type="cellIs" dxfId="1844" priority="1845" stopIfTrue="1" operator="lessThan">
      <formula>0.001</formula>
    </cfRule>
  </conditionalFormatting>
  <conditionalFormatting sqref="BH721">
    <cfRule type="cellIs" dxfId="1843" priority="1844" stopIfTrue="1" operator="lessThan">
      <formula>0.001</formula>
    </cfRule>
  </conditionalFormatting>
  <conditionalFormatting sqref="BH722:BH724">
    <cfRule type="cellIs" dxfId="1842" priority="1843" stopIfTrue="1" operator="lessThan">
      <formula>0.001</formula>
    </cfRule>
  </conditionalFormatting>
  <conditionalFormatting sqref="BH725">
    <cfRule type="cellIs" dxfId="1841" priority="1842" stopIfTrue="1" operator="lessThan">
      <formula>0.001</formula>
    </cfRule>
  </conditionalFormatting>
  <conditionalFormatting sqref="BH726">
    <cfRule type="cellIs" dxfId="1840" priority="1841" stopIfTrue="1" operator="lessThan">
      <formula>0.001</formula>
    </cfRule>
  </conditionalFormatting>
  <conditionalFormatting sqref="BH727">
    <cfRule type="cellIs" dxfId="1839" priority="1840" stopIfTrue="1" operator="lessThan">
      <formula>0.001</formula>
    </cfRule>
  </conditionalFormatting>
  <conditionalFormatting sqref="BH728:BH730">
    <cfRule type="cellIs" dxfId="1838" priority="1839" stopIfTrue="1" operator="lessThan">
      <formula>0.001</formula>
    </cfRule>
  </conditionalFormatting>
  <conditionalFormatting sqref="BH731">
    <cfRule type="cellIs" dxfId="1837" priority="1838" stopIfTrue="1" operator="lessThan">
      <formula>0.001</formula>
    </cfRule>
  </conditionalFormatting>
  <conditionalFormatting sqref="BH732">
    <cfRule type="cellIs" dxfId="1836" priority="1837" stopIfTrue="1" operator="lessThan">
      <formula>0.001</formula>
    </cfRule>
  </conditionalFormatting>
  <conditionalFormatting sqref="BH733">
    <cfRule type="cellIs" dxfId="1835" priority="1836" stopIfTrue="1" operator="lessThan">
      <formula>0.001</formula>
    </cfRule>
  </conditionalFormatting>
  <conditionalFormatting sqref="BH734:BH735">
    <cfRule type="cellIs" dxfId="1834" priority="1835" stopIfTrue="1" operator="lessThan">
      <formula>0.001</formula>
    </cfRule>
  </conditionalFormatting>
  <conditionalFormatting sqref="BH736">
    <cfRule type="cellIs" dxfId="1833" priority="1834" stopIfTrue="1" operator="lessThan">
      <formula>0.001</formula>
    </cfRule>
  </conditionalFormatting>
  <conditionalFormatting sqref="BH737:BH739">
    <cfRule type="cellIs" dxfId="1832" priority="1833" stopIfTrue="1" operator="lessThan">
      <formula>0.001</formula>
    </cfRule>
  </conditionalFormatting>
  <conditionalFormatting sqref="BI681">
    <cfRule type="cellIs" dxfId="1831" priority="1832" stopIfTrue="1" operator="lessThan">
      <formula>0.001</formula>
    </cfRule>
  </conditionalFormatting>
  <conditionalFormatting sqref="BI682">
    <cfRule type="cellIs" dxfId="1830" priority="1831" stopIfTrue="1" operator="lessThan">
      <formula>0.001</formula>
    </cfRule>
  </conditionalFormatting>
  <conditionalFormatting sqref="BI683:BI690">
    <cfRule type="cellIs" dxfId="1829" priority="1830" stopIfTrue="1" operator="lessThan">
      <formula>0.001</formula>
    </cfRule>
  </conditionalFormatting>
  <conditionalFormatting sqref="BI691">
    <cfRule type="cellIs" dxfId="1828" priority="1829" stopIfTrue="1" operator="lessThan">
      <formula>0.001</formula>
    </cfRule>
  </conditionalFormatting>
  <conditionalFormatting sqref="BI694">
    <cfRule type="cellIs" dxfId="1827" priority="1828" stopIfTrue="1" operator="lessThan">
      <formula>0.001</formula>
    </cfRule>
  </conditionalFormatting>
  <conditionalFormatting sqref="BI695">
    <cfRule type="cellIs" dxfId="1826" priority="1827" stopIfTrue="1" operator="lessThan">
      <formula>0.001</formula>
    </cfRule>
  </conditionalFormatting>
  <conditionalFormatting sqref="BI698">
    <cfRule type="cellIs" dxfId="1825" priority="1826" stopIfTrue="1" operator="lessThan">
      <formula>0.001</formula>
    </cfRule>
  </conditionalFormatting>
  <conditionalFormatting sqref="BI699">
    <cfRule type="cellIs" dxfId="1824" priority="1825" stopIfTrue="1" operator="lessThan">
      <formula>0.001</formula>
    </cfRule>
  </conditionalFormatting>
  <conditionalFormatting sqref="BI700">
    <cfRule type="cellIs" dxfId="1823" priority="1824" stopIfTrue="1" operator="lessThan">
      <formula>0.001</formula>
    </cfRule>
  </conditionalFormatting>
  <conditionalFormatting sqref="BI701:BI703">
    <cfRule type="cellIs" dxfId="1822" priority="1823" stopIfTrue="1" operator="lessThan">
      <formula>0.001</formula>
    </cfRule>
  </conditionalFormatting>
  <conditionalFormatting sqref="BI704">
    <cfRule type="cellIs" dxfId="1821" priority="1822" stopIfTrue="1" operator="lessThan">
      <formula>0.001</formula>
    </cfRule>
  </conditionalFormatting>
  <conditionalFormatting sqref="BI705">
    <cfRule type="cellIs" dxfId="1820" priority="1821" stopIfTrue="1" operator="lessThan">
      <formula>0.001</formula>
    </cfRule>
  </conditionalFormatting>
  <conditionalFormatting sqref="BI707:BI709">
    <cfRule type="cellIs" dxfId="1819" priority="1820" stopIfTrue="1" operator="lessThan">
      <formula>0.001</formula>
    </cfRule>
  </conditionalFormatting>
  <conditionalFormatting sqref="BI706">
    <cfRule type="cellIs" dxfId="1818" priority="1819" stopIfTrue="1" operator="lessThan">
      <formula>0.001</formula>
    </cfRule>
  </conditionalFormatting>
  <conditionalFormatting sqref="BI710">
    <cfRule type="cellIs" dxfId="1817" priority="1818" stopIfTrue="1" operator="lessThan">
      <formula>0.001</formula>
    </cfRule>
  </conditionalFormatting>
  <conditionalFormatting sqref="BI711:BI716">
    <cfRule type="cellIs" dxfId="1816" priority="1817" stopIfTrue="1" operator="lessThan">
      <formula>0.001</formula>
    </cfRule>
  </conditionalFormatting>
  <conditionalFormatting sqref="BI717">
    <cfRule type="cellIs" dxfId="1815" priority="1816" stopIfTrue="1" operator="lessThan">
      <formula>0.001</formula>
    </cfRule>
  </conditionalFormatting>
  <conditionalFormatting sqref="BI718:BI720">
    <cfRule type="cellIs" dxfId="1814" priority="1815" stopIfTrue="1" operator="lessThan">
      <formula>0.001</formula>
    </cfRule>
  </conditionalFormatting>
  <conditionalFormatting sqref="BI721">
    <cfRule type="cellIs" dxfId="1813" priority="1814" stopIfTrue="1" operator="lessThan">
      <formula>0.001</formula>
    </cfRule>
  </conditionalFormatting>
  <conditionalFormatting sqref="BI722:BI724">
    <cfRule type="cellIs" dxfId="1812" priority="1813" stopIfTrue="1" operator="lessThan">
      <formula>0.001</formula>
    </cfRule>
  </conditionalFormatting>
  <conditionalFormatting sqref="BI725">
    <cfRule type="cellIs" dxfId="1811" priority="1812" stopIfTrue="1" operator="lessThan">
      <formula>0.001</formula>
    </cfRule>
  </conditionalFormatting>
  <conditionalFormatting sqref="BI726">
    <cfRule type="cellIs" dxfId="1810" priority="1811" stopIfTrue="1" operator="lessThan">
      <formula>0.001</formula>
    </cfRule>
  </conditionalFormatting>
  <conditionalFormatting sqref="BI727">
    <cfRule type="cellIs" dxfId="1809" priority="1810" stopIfTrue="1" operator="lessThan">
      <formula>0.001</formula>
    </cfRule>
  </conditionalFormatting>
  <conditionalFormatting sqref="BI728:BI730">
    <cfRule type="cellIs" dxfId="1808" priority="1809" stopIfTrue="1" operator="lessThan">
      <formula>0.001</formula>
    </cfRule>
  </conditionalFormatting>
  <conditionalFormatting sqref="BI731">
    <cfRule type="cellIs" dxfId="1807" priority="1808" stopIfTrue="1" operator="lessThan">
      <formula>0.001</formula>
    </cfRule>
  </conditionalFormatting>
  <conditionalFormatting sqref="BI732">
    <cfRule type="cellIs" dxfId="1806" priority="1807" stopIfTrue="1" operator="lessThan">
      <formula>0.001</formula>
    </cfRule>
  </conditionalFormatting>
  <conditionalFormatting sqref="BI733">
    <cfRule type="cellIs" dxfId="1805" priority="1806" stopIfTrue="1" operator="lessThan">
      <formula>0.001</formula>
    </cfRule>
  </conditionalFormatting>
  <conditionalFormatting sqref="BI734:BI735">
    <cfRule type="cellIs" dxfId="1804" priority="1805" stopIfTrue="1" operator="lessThan">
      <formula>0.001</formula>
    </cfRule>
  </conditionalFormatting>
  <conditionalFormatting sqref="BI736">
    <cfRule type="cellIs" dxfId="1803" priority="1804" stopIfTrue="1" operator="lessThan">
      <formula>0.001</formula>
    </cfRule>
  </conditionalFormatting>
  <conditionalFormatting sqref="BI737:BI739">
    <cfRule type="cellIs" dxfId="1802" priority="1803" stopIfTrue="1" operator="lessThan">
      <formula>0.001</formula>
    </cfRule>
  </conditionalFormatting>
  <conditionalFormatting sqref="BI681">
    <cfRule type="cellIs" dxfId="1801" priority="1802" stopIfTrue="1" operator="lessThan">
      <formula>0.001</formula>
    </cfRule>
  </conditionalFormatting>
  <conditionalFormatting sqref="BI682">
    <cfRule type="cellIs" dxfId="1800" priority="1801" stopIfTrue="1" operator="lessThan">
      <formula>0.001</formula>
    </cfRule>
  </conditionalFormatting>
  <conditionalFormatting sqref="BI683:BI690">
    <cfRule type="cellIs" dxfId="1799" priority="1800" stopIfTrue="1" operator="lessThan">
      <formula>0.001</formula>
    </cfRule>
  </conditionalFormatting>
  <conditionalFormatting sqref="BI691">
    <cfRule type="cellIs" dxfId="1798" priority="1799" stopIfTrue="1" operator="lessThan">
      <formula>0.001</formula>
    </cfRule>
  </conditionalFormatting>
  <conditionalFormatting sqref="BI694">
    <cfRule type="cellIs" dxfId="1797" priority="1798" stopIfTrue="1" operator="lessThan">
      <formula>0.001</formula>
    </cfRule>
  </conditionalFormatting>
  <conditionalFormatting sqref="BI695">
    <cfRule type="cellIs" dxfId="1796" priority="1797" stopIfTrue="1" operator="lessThan">
      <formula>0.001</formula>
    </cfRule>
  </conditionalFormatting>
  <conditionalFormatting sqref="BI698">
    <cfRule type="cellIs" dxfId="1795" priority="1796" stopIfTrue="1" operator="lessThan">
      <formula>0.001</formula>
    </cfRule>
  </conditionalFormatting>
  <conditionalFormatting sqref="BI699">
    <cfRule type="cellIs" dxfId="1794" priority="1795" stopIfTrue="1" operator="lessThan">
      <formula>0.001</formula>
    </cfRule>
  </conditionalFormatting>
  <conditionalFormatting sqref="BI700">
    <cfRule type="cellIs" dxfId="1793" priority="1794" stopIfTrue="1" operator="lessThan">
      <formula>0.001</formula>
    </cfRule>
  </conditionalFormatting>
  <conditionalFormatting sqref="BI701:BI703">
    <cfRule type="cellIs" dxfId="1792" priority="1793" stopIfTrue="1" operator="lessThan">
      <formula>0.001</formula>
    </cfRule>
  </conditionalFormatting>
  <conditionalFormatting sqref="BI704">
    <cfRule type="cellIs" dxfId="1791" priority="1792" stopIfTrue="1" operator="lessThan">
      <formula>0.001</formula>
    </cfRule>
  </conditionalFormatting>
  <conditionalFormatting sqref="BI705">
    <cfRule type="cellIs" dxfId="1790" priority="1791" stopIfTrue="1" operator="lessThan">
      <formula>0.001</formula>
    </cfRule>
  </conditionalFormatting>
  <conditionalFormatting sqref="BI707:BI709">
    <cfRule type="cellIs" dxfId="1789" priority="1790" stopIfTrue="1" operator="lessThan">
      <formula>0.001</formula>
    </cfRule>
  </conditionalFormatting>
  <conditionalFormatting sqref="BI706">
    <cfRule type="cellIs" dxfId="1788" priority="1789" stopIfTrue="1" operator="lessThan">
      <formula>0.001</formula>
    </cfRule>
  </conditionalFormatting>
  <conditionalFormatting sqref="BI710">
    <cfRule type="cellIs" dxfId="1787" priority="1788" stopIfTrue="1" operator="lessThan">
      <formula>0.001</formula>
    </cfRule>
  </conditionalFormatting>
  <conditionalFormatting sqref="BI711:BI716">
    <cfRule type="cellIs" dxfId="1786" priority="1787" stopIfTrue="1" operator="lessThan">
      <formula>0.001</formula>
    </cfRule>
  </conditionalFormatting>
  <conditionalFormatting sqref="BI717">
    <cfRule type="cellIs" dxfId="1785" priority="1786" stopIfTrue="1" operator="lessThan">
      <formula>0.001</formula>
    </cfRule>
  </conditionalFormatting>
  <conditionalFormatting sqref="BI718:BI720">
    <cfRule type="cellIs" dxfId="1784" priority="1785" stopIfTrue="1" operator="lessThan">
      <formula>0.001</formula>
    </cfRule>
  </conditionalFormatting>
  <conditionalFormatting sqref="BI721">
    <cfRule type="cellIs" dxfId="1783" priority="1784" stopIfTrue="1" operator="lessThan">
      <formula>0.001</formula>
    </cfRule>
  </conditionalFormatting>
  <conditionalFormatting sqref="BI722:BI724">
    <cfRule type="cellIs" dxfId="1782" priority="1783" stopIfTrue="1" operator="lessThan">
      <formula>0.001</formula>
    </cfRule>
  </conditionalFormatting>
  <conditionalFormatting sqref="BI725">
    <cfRule type="cellIs" dxfId="1781" priority="1782" stopIfTrue="1" operator="lessThan">
      <formula>0.001</formula>
    </cfRule>
  </conditionalFormatting>
  <conditionalFormatting sqref="BI726">
    <cfRule type="cellIs" dxfId="1780" priority="1781" stopIfTrue="1" operator="lessThan">
      <formula>0.001</formula>
    </cfRule>
  </conditionalFormatting>
  <conditionalFormatting sqref="BI727">
    <cfRule type="cellIs" dxfId="1779" priority="1780" stopIfTrue="1" operator="lessThan">
      <formula>0.001</formula>
    </cfRule>
  </conditionalFormatting>
  <conditionalFormatting sqref="BI728:BI730">
    <cfRule type="cellIs" dxfId="1778" priority="1779" stopIfTrue="1" operator="lessThan">
      <formula>0.001</formula>
    </cfRule>
  </conditionalFormatting>
  <conditionalFormatting sqref="BI731">
    <cfRule type="cellIs" dxfId="1777" priority="1778" stopIfTrue="1" operator="lessThan">
      <formula>0.001</formula>
    </cfRule>
  </conditionalFormatting>
  <conditionalFormatting sqref="BI732">
    <cfRule type="cellIs" dxfId="1776" priority="1777" stopIfTrue="1" operator="lessThan">
      <formula>0.001</formula>
    </cfRule>
  </conditionalFormatting>
  <conditionalFormatting sqref="BI733">
    <cfRule type="cellIs" dxfId="1775" priority="1776" stopIfTrue="1" operator="lessThan">
      <formula>0.001</formula>
    </cfRule>
  </conditionalFormatting>
  <conditionalFormatting sqref="BI734:BI735">
    <cfRule type="cellIs" dxfId="1774" priority="1775" stopIfTrue="1" operator="lessThan">
      <formula>0.001</formula>
    </cfRule>
  </conditionalFormatting>
  <conditionalFormatting sqref="BI736">
    <cfRule type="cellIs" dxfId="1773" priority="1774" stopIfTrue="1" operator="lessThan">
      <formula>0.001</formula>
    </cfRule>
  </conditionalFormatting>
  <conditionalFormatting sqref="BI737:BI739">
    <cfRule type="cellIs" dxfId="1772" priority="1773" stopIfTrue="1" operator="lessThan">
      <formula>0.001</formula>
    </cfRule>
  </conditionalFormatting>
  <conditionalFormatting sqref="BG681">
    <cfRule type="cellIs" dxfId="1771" priority="1772" stopIfTrue="1" operator="lessThan">
      <formula>0.001</formula>
    </cfRule>
  </conditionalFormatting>
  <conditionalFormatting sqref="BG682">
    <cfRule type="cellIs" dxfId="1770" priority="1771" stopIfTrue="1" operator="lessThan">
      <formula>0.001</formula>
    </cfRule>
  </conditionalFormatting>
  <conditionalFormatting sqref="BG683:BG690">
    <cfRule type="cellIs" dxfId="1769" priority="1770" stopIfTrue="1" operator="lessThan">
      <formula>0.001</formula>
    </cfRule>
  </conditionalFormatting>
  <conditionalFormatting sqref="BG691">
    <cfRule type="cellIs" dxfId="1768" priority="1769" stopIfTrue="1" operator="lessThan">
      <formula>0.001</formula>
    </cfRule>
  </conditionalFormatting>
  <conditionalFormatting sqref="BG694">
    <cfRule type="cellIs" dxfId="1767" priority="1768" stopIfTrue="1" operator="lessThan">
      <formula>0.001</formula>
    </cfRule>
  </conditionalFormatting>
  <conditionalFormatting sqref="BG695">
    <cfRule type="cellIs" dxfId="1766" priority="1767" stopIfTrue="1" operator="lessThan">
      <formula>0.001</formula>
    </cfRule>
  </conditionalFormatting>
  <conditionalFormatting sqref="BG698">
    <cfRule type="cellIs" dxfId="1765" priority="1766" stopIfTrue="1" operator="lessThan">
      <formula>0.001</formula>
    </cfRule>
  </conditionalFormatting>
  <conditionalFormatting sqref="BG699">
    <cfRule type="cellIs" dxfId="1764" priority="1765" stopIfTrue="1" operator="lessThan">
      <formula>0.001</formula>
    </cfRule>
  </conditionalFormatting>
  <conditionalFormatting sqref="BG700">
    <cfRule type="cellIs" dxfId="1763" priority="1764" stopIfTrue="1" operator="lessThan">
      <formula>0.001</formula>
    </cfRule>
  </conditionalFormatting>
  <conditionalFormatting sqref="BG701:BG703">
    <cfRule type="cellIs" dxfId="1762" priority="1763" stopIfTrue="1" operator="lessThan">
      <formula>0.001</formula>
    </cfRule>
  </conditionalFormatting>
  <conditionalFormatting sqref="BG704">
    <cfRule type="cellIs" dxfId="1761" priority="1762" stopIfTrue="1" operator="lessThan">
      <formula>0.001</formula>
    </cfRule>
  </conditionalFormatting>
  <conditionalFormatting sqref="BG705">
    <cfRule type="cellIs" dxfId="1760" priority="1761" stopIfTrue="1" operator="lessThan">
      <formula>0.001</formula>
    </cfRule>
  </conditionalFormatting>
  <conditionalFormatting sqref="BG707:BG709">
    <cfRule type="cellIs" dxfId="1759" priority="1760" stopIfTrue="1" operator="lessThan">
      <formula>0.001</formula>
    </cfRule>
  </conditionalFormatting>
  <conditionalFormatting sqref="BG706">
    <cfRule type="cellIs" dxfId="1758" priority="1759" stopIfTrue="1" operator="lessThan">
      <formula>0.001</formula>
    </cfRule>
  </conditionalFormatting>
  <conditionalFormatting sqref="BG710">
    <cfRule type="cellIs" dxfId="1757" priority="1758" stopIfTrue="1" operator="lessThan">
      <formula>0.001</formula>
    </cfRule>
  </conditionalFormatting>
  <conditionalFormatting sqref="BG711:BG716">
    <cfRule type="cellIs" dxfId="1756" priority="1757" stopIfTrue="1" operator="lessThan">
      <formula>0.001</formula>
    </cfRule>
  </conditionalFormatting>
  <conditionalFormatting sqref="BG717">
    <cfRule type="cellIs" dxfId="1755" priority="1756" stopIfTrue="1" operator="lessThan">
      <formula>0.001</formula>
    </cfRule>
  </conditionalFormatting>
  <conditionalFormatting sqref="BG718:BG720">
    <cfRule type="cellIs" dxfId="1754" priority="1755" stopIfTrue="1" operator="lessThan">
      <formula>0.001</formula>
    </cfRule>
  </conditionalFormatting>
  <conditionalFormatting sqref="BG721">
    <cfRule type="cellIs" dxfId="1753" priority="1754" stopIfTrue="1" operator="lessThan">
      <formula>0.001</formula>
    </cfRule>
  </conditionalFormatting>
  <conditionalFormatting sqref="BG722:BG724">
    <cfRule type="cellIs" dxfId="1752" priority="1753" stopIfTrue="1" operator="lessThan">
      <formula>0.001</formula>
    </cfRule>
  </conditionalFormatting>
  <conditionalFormatting sqref="BG725">
    <cfRule type="cellIs" dxfId="1751" priority="1752" stopIfTrue="1" operator="lessThan">
      <formula>0.001</formula>
    </cfRule>
  </conditionalFormatting>
  <conditionalFormatting sqref="BG726">
    <cfRule type="cellIs" dxfId="1750" priority="1751" stopIfTrue="1" operator="lessThan">
      <formula>0.001</formula>
    </cfRule>
  </conditionalFormatting>
  <conditionalFormatting sqref="BG727">
    <cfRule type="cellIs" dxfId="1749" priority="1750" stopIfTrue="1" operator="lessThan">
      <formula>0.001</formula>
    </cfRule>
  </conditionalFormatting>
  <conditionalFormatting sqref="BG728:BG730">
    <cfRule type="cellIs" dxfId="1748" priority="1749" stopIfTrue="1" operator="lessThan">
      <formula>0.001</formula>
    </cfRule>
  </conditionalFormatting>
  <conditionalFormatting sqref="BG731">
    <cfRule type="cellIs" dxfId="1747" priority="1748" stopIfTrue="1" operator="lessThan">
      <formula>0.001</formula>
    </cfRule>
  </conditionalFormatting>
  <conditionalFormatting sqref="BG732">
    <cfRule type="cellIs" dxfId="1746" priority="1747" stopIfTrue="1" operator="lessThan">
      <formula>0.001</formula>
    </cfRule>
  </conditionalFormatting>
  <conditionalFormatting sqref="BG733">
    <cfRule type="cellIs" dxfId="1745" priority="1746" stopIfTrue="1" operator="lessThan">
      <formula>0.001</formula>
    </cfRule>
  </conditionalFormatting>
  <conditionalFormatting sqref="BG734:BG735">
    <cfRule type="cellIs" dxfId="1744" priority="1745" stopIfTrue="1" operator="lessThan">
      <formula>0.001</formula>
    </cfRule>
  </conditionalFormatting>
  <conditionalFormatting sqref="BG736">
    <cfRule type="cellIs" dxfId="1743" priority="1744" stopIfTrue="1" operator="lessThan">
      <formula>0.001</formula>
    </cfRule>
  </conditionalFormatting>
  <conditionalFormatting sqref="BG737:BG739">
    <cfRule type="cellIs" dxfId="1742" priority="1743" stopIfTrue="1" operator="lessThan">
      <formula>0.001</formula>
    </cfRule>
  </conditionalFormatting>
  <conditionalFormatting sqref="BG681">
    <cfRule type="cellIs" dxfId="1741" priority="1742" stopIfTrue="1" operator="lessThan">
      <formula>0.001</formula>
    </cfRule>
  </conditionalFormatting>
  <conditionalFormatting sqref="BG682">
    <cfRule type="cellIs" dxfId="1740" priority="1741" stopIfTrue="1" operator="lessThan">
      <formula>0.001</formula>
    </cfRule>
  </conditionalFormatting>
  <conditionalFormatting sqref="BG683:BG690">
    <cfRule type="cellIs" dxfId="1739" priority="1740" stopIfTrue="1" operator="lessThan">
      <formula>0.001</formula>
    </cfRule>
  </conditionalFormatting>
  <conditionalFormatting sqref="BG691">
    <cfRule type="cellIs" dxfId="1738" priority="1739" stopIfTrue="1" operator="lessThan">
      <formula>0.001</formula>
    </cfRule>
  </conditionalFormatting>
  <conditionalFormatting sqref="BG694">
    <cfRule type="cellIs" dxfId="1737" priority="1738" stopIfTrue="1" operator="lessThan">
      <formula>0.001</formula>
    </cfRule>
  </conditionalFormatting>
  <conditionalFormatting sqref="BG695">
    <cfRule type="cellIs" dxfId="1736" priority="1737" stopIfTrue="1" operator="lessThan">
      <formula>0.001</formula>
    </cfRule>
  </conditionalFormatting>
  <conditionalFormatting sqref="BG698">
    <cfRule type="cellIs" dxfId="1735" priority="1736" stopIfTrue="1" operator="lessThan">
      <formula>0.001</formula>
    </cfRule>
  </conditionalFormatting>
  <conditionalFormatting sqref="BG699">
    <cfRule type="cellIs" dxfId="1734" priority="1735" stopIfTrue="1" operator="lessThan">
      <formula>0.001</formula>
    </cfRule>
  </conditionalFormatting>
  <conditionalFormatting sqref="BG700">
    <cfRule type="cellIs" dxfId="1733" priority="1734" stopIfTrue="1" operator="lessThan">
      <formula>0.001</formula>
    </cfRule>
  </conditionalFormatting>
  <conditionalFormatting sqref="BG701:BG703">
    <cfRule type="cellIs" dxfId="1732" priority="1733" stopIfTrue="1" operator="lessThan">
      <formula>0.001</formula>
    </cfRule>
  </conditionalFormatting>
  <conditionalFormatting sqref="BG704">
    <cfRule type="cellIs" dxfId="1731" priority="1732" stopIfTrue="1" operator="lessThan">
      <formula>0.001</formula>
    </cfRule>
  </conditionalFormatting>
  <conditionalFormatting sqref="BG705">
    <cfRule type="cellIs" dxfId="1730" priority="1731" stopIfTrue="1" operator="lessThan">
      <formula>0.001</formula>
    </cfRule>
  </conditionalFormatting>
  <conditionalFormatting sqref="BG707:BG709">
    <cfRule type="cellIs" dxfId="1729" priority="1730" stopIfTrue="1" operator="lessThan">
      <formula>0.001</formula>
    </cfRule>
  </conditionalFormatting>
  <conditionalFormatting sqref="BG706">
    <cfRule type="cellIs" dxfId="1728" priority="1729" stopIfTrue="1" operator="lessThan">
      <formula>0.001</formula>
    </cfRule>
  </conditionalFormatting>
  <conditionalFormatting sqref="BG710">
    <cfRule type="cellIs" dxfId="1727" priority="1728" stopIfTrue="1" operator="lessThan">
      <formula>0.001</formula>
    </cfRule>
  </conditionalFormatting>
  <conditionalFormatting sqref="BG711:BG716">
    <cfRule type="cellIs" dxfId="1726" priority="1727" stopIfTrue="1" operator="lessThan">
      <formula>0.001</formula>
    </cfRule>
  </conditionalFormatting>
  <conditionalFormatting sqref="BG717">
    <cfRule type="cellIs" dxfId="1725" priority="1726" stopIfTrue="1" operator="lessThan">
      <formula>0.001</formula>
    </cfRule>
  </conditionalFormatting>
  <conditionalFormatting sqref="BG718:BG720">
    <cfRule type="cellIs" dxfId="1724" priority="1725" stopIfTrue="1" operator="lessThan">
      <formula>0.001</formula>
    </cfRule>
  </conditionalFormatting>
  <conditionalFormatting sqref="BG721">
    <cfRule type="cellIs" dxfId="1723" priority="1724" stopIfTrue="1" operator="lessThan">
      <formula>0.001</formula>
    </cfRule>
  </conditionalFormatting>
  <conditionalFormatting sqref="BG722:BG724">
    <cfRule type="cellIs" dxfId="1722" priority="1723" stopIfTrue="1" operator="lessThan">
      <formula>0.001</formula>
    </cfRule>
  </conditionalFormatting>
  <conditionalFormatting sqref="BG725">
    <cfRule type="cellIs" dxfId="1721" priority="1722" stopIfTrue="1" operator="lessThan">
      <formula>0.001</formula>
    </cfRule>
  </conditionalFormatting>
  <conditionalFormatting sqref="BG726">
    <cfRule type="cellIs" dxfId="1720" priority="1721" stopIfTrue="1" operator="lessThan">
      <formula>0.001</formula>
    </cfRule>
  </conditionalFormatting>
  <conditionalFormatting sqref="BG727">
    <cfRule type="cellIs" dxfId="1719" priority="1720" stopIfTrue="1" operator="lessThan">
      <formula>0.001</formula>
    </cfRule>
  </conditionalFormatting>
  <conditionalFormatting sqref="BG728:BG730">
    <cfRule type="cellIs" dxfId="1718" priority="1719" stopIfTrue="1" operator="lessThan">
      <formula>0.001</formula>
    </cfRule>
  </conditionalFormatting>
  <conditionalFormatting sqref="BG731">
    <cfRule type="cellIs" dxfId="1717" priority="1718" stopIfTrue="1" operator="lessThan">
      <formula>0.001</formula>
    </cfRule>
  </conditionalFormatting>
  <conditionalFormatting sqref="BG732">
    <cfRule type="cellIs" dxfId="1716" priority="1717" stopIfTrue="1" operator="lessThan">
      <formula>0.001</formula>
    </cfRule>
  </conditionalFormatting>
  <conditionalFormatting sqref="BG733">
    <cfRule type="cellIs" dxfId="1715" priority="1716" stopIfTrue="1" operator="lessThan">
      <formula>0.001</formula>
    </cfRule>
  </conditionalFormatting>
  <conditionalFormatting sqref="BG734:BG735">
    <cfRule type="cellIs" dxfId="1714" priority="1715" stopIfTrue="1" operator="lessThan">
      <formula>0.001</formula>
    </cfRule>
  </conditionalFormatting>
  <conditionalFormatting sqref="BG736">
    <cfRule type="cellIs" dxfId="1713" priority="1714" stopIfTrue="1" operator="lessThan">
      <formula>0.001</formula>
    </cfRule>
  </conditionalFormatting>
  <conditionalFormatting sqref="BG737:BG739">
    <cfRule type="cellIs" dxfId="1712" priority="1713" stopIfTrue="1" operator="lessThan">
      <formula>0.001</formula>
    </cfRule>
  </conditionalFormatting>
  <conditionalFormatting sqref="BG681">
    <cfRule type="cellIs" dxfId="1711" priority="1712" stopIfTrue="1" operator="lessThan">
      <formula>0.001</formula>
    </cfRule>
  </conditionalFormatting>
  <conditionalFormatting sqref="BG682">
    <cfRule type="cellIs" dxfId="1710" priority="1711" stopIfTrue="1" operator="lessThan">
      <formula>0.001</formula>
    </cfRule>
  </conditionalFormatting>
  <conditionalFormatting sqref="BG683:BG690">
    <cfRule type="cellIs" dxfId="1709" priority="1710" stopIfTrue="1" operator="lessThan">
      <formula>0.001</formula>
    </cfRule>
  </conditionalFormatting>
  <conditionalFormatting sqref="BG691">
    <cfRule type="cellIs" dxfId="1708" priority="1709" stopIfTrue="1" operator="lessThan">
      <formula>0.001</formula>
    </cfRule>
  </conditionalFormatting>
  <conditionalFormatting sqref="BG694">
    <cfRule type="cellIs" dxfId="1707" priority="1708" stopIfTrue="1" operator="lessThan">
      <formula>0.001</formula>
    </cfRule>
  </conditionalFormatting>
  <conditionalFormatting sqref="BG695">
    <cfRule type="cellIs" dxfId="1706" priority="1707" stopIfTrue="1" operator="lessThan">
      <formula>0.001</formula>
    </cfRule>
  </conditionalFormatting>
  <conditionalFormatting sqref="BG698">
    <cfRule type="cellIs" dxfId="1705" priority="1706" stopIfTrue="1" operator="lessThan">
      <formula>0.001</formula>
    </cfRule>
  </conditionalFormatting>
  <conditionalFormatting sqref="BG699">
    <cfRule type="cellIs" dxfId="1704" priority="1705" stopIfTrue="1" operator="lessThan">
      <formula>0.001</formula>
    </cfRule>
  </conditionalFormatting>
  <conditionalFormatting sqref="BG700">
    <cfRule type="cellIs" dxfId="1703" priority="1704" stopIfTrue="1" operator="lessThan">
      <formula>0.001</formula>
    </cfRule>
  </conditionalFormatting>
  <conditionalFormatting sqref="BG701:BG703">
    <cfRule type="cellIs" dxfId="1702" priority="1703" stopIfTrue="1" operator="lessThan">
      <formula>0.001</formula>
    </cfRule>
  </conditionalFormatting>
  <conditionalFormatting sqref="BG704">
    <cfRule type="cellIs" dxfId="1701" priority="1702" stopIfTrue="1" operator="lessThan">
      <formula>0.001</formula>
    </cfRule>
  </conditionalFormatting>
  <conditionalFormatting sqref="BG705">
    <cfRule type="cellIs" dxfId="1700" priority="1701" stopIfTrue="1" operator="lessThan">
      <formula>0.001</formula>
    </cfRule>
  </conditionalFormatting>
  <conditionalFormatting sqref="BG707:BG709">
    <cfRule type="cellIs" dxfId="1699" priority="1700" stopIfTrue="1" operator="lessThan">
      <formula>0.001</formula>
    </cfRule>
  </conditionalFormatting>
  <conditionalFormatting sqref="BG706">
    <cfRule type="cellIs" dxfId="1698" priority="1699" stopIfTrue="1" operator="lessThan">
      <formula>0.001</formula>
    </cfRule>
  </conditionalFormatting>
  <conditionalFormatting sqref="BG710">
    <cfRule type="cellIs" dxfId="1697" priority="1698" stopIfTrue="1" operator="lessThan">
      <formula>0.001</formula>
    </cfRule>
  </conditionalFormatting>
  <conditionalFormatting sqref="BG711:BG716">
    <cfRule type="cellIs" dxfId="1696" priority="1697" stopIfTrue="1" operator="lessThan">
      <formula>0.001</formula>
    </cfRule>
  </conditionalFormatting>
  <conditionalFormatting sqref="BG717">
    <cfRule type="cellIs" dxfId="1695" priority="1696" stopIfTrue="1" operator="lessThan">
      <formula>0.001</formula>
    </cfRule>
  </conditionalFormatting>
  <conditionalFormatting sqref="BG718:BG720">
    <cfRule type="cellIs" dxfId="1694" priority="1695" stopIfTrue="1" operator="lessThan">
      <formula>0.001</formula>
    </cfRule>
  </conditionalFormatting>
  <conditionalFormatting sqref="BG721">
    <cfRule type="cellIs" dxfId="1693" priority="1694" stopIfTrue="1" operator="lessThan">
      <formula>0.001</formula>
    </cfRule>
  </conditionalFormatting>
  <conditionalFormatting sqref="BG722:BG724">
    <cfRule type="cellIs" dxfId="1692" priority="1693" stopIfTrue="1" operator="lessThan">
      <formula>0.001</formula>
    </cfRule>
  </conditionalFormatting>
  <conditionalFormatting sqref="BG725">
    <cfRule type="cellIs" dxfId="1691" priority="1692" stopIfTrue="1" operator="lessThan">
      <formula>0.001</formula>
    </cfRule>
  </conditionalFormatting>
  <conditionalFormatting sqref="BG726">
    <cfRule type="cellIs" dxfId="1690" priority="1691" stopIfTrue="1" operator="lessThan">
      <formula>0.001</formula>
    </cfRule>
  </conditionalFormatting>
  <conditionalFormatting sqref="BG727">
    <cfRule type="cellIs" dxfId="1689" priority="1690" stopIfTrue="1" operator="lessThan">
      <formula>0.001</formula>
    </cfRule>
  </conditionalFormatting>
  <conditionalFormatting sqref="BG728:BG730">
    <cfRule type="cellIs" dxfId="1688" priority="1689" stopIfTrue="1" operator="lessThan">
      <formula>0.001</formula>
    </cfRule>
  </conditionalFormatting>
  <conditionalFormatting sqref="BG731">
    <cfRule type="cellIs" dxfId="1687" priority="1688" stopIfTrue="1" operator="lessThan">
      <formula>0.001</formula>
    </cfRule>
  </conditionalFormatting>
  <conditionalFormatting sqref="BG732">
    <cfRule type="cellIs" dxfId="1686" priority="1687" stopIfTrue="1" operator="lessThan">
      <formula>0.001</formula>
    </cfRule>
  </conditionalFormatting>
  <conditionalFormatting sqref="BG733">
    <cfRule type="cellIs" dxfId="1685" priority="1686" stopIfTrue="1" operator="lessThan">
      <formula>0.001</formula>
    </cfRule>
  </conditionalFormatting>
  <conditionalFormatting sqref="BG734:BG735">
    <cfRule type="cellIs" dxfId="1684" priority="1685" stopIfTrue="1" operator="lessThan">
      <formula>0.001</formula>
    </cfRule>
  </conditionalFormatting>
  <conditionalFormatting sqref="BG736">
    <cfRule type="cellIs" dxfId="1683" priority="1684" stopIfTrue="1" operator="lessThan">
      <formula>0.001</formula>
    </cfRule>
  </conditionalFormatting>
  <conditionalFormatting sqref="BG737:BG739">
    <cfRule type="cellIs" dxfId="1682" priority="1683" stopIfTrue="1" operator="lessThan">
      <formula>0.001</formula>
    </cfRule>
  </conditionalFormatting>
  <conditionalFormatting sqref="BH681">
    <cfRule type="cellIs" dxfId="1681" priority="1682" stopIfTrue="1" operator="lessThan">
      <formula>0.001</formula>
    </cfRule>
  </conditionalFormatting>
  <conditionalFormatting sqref="BH682">
    <cfRule type="cellIs" dxfId="1680" priority="1681" stopIfTrue="1" operator="lessThan">
      <formula>0.001</formula>
    </cfRule>
  </conditionalFormatting>
  <conditionalFormatting sqref="BH683:BH690">
    <cfRule type="cellIs" dxfId="1679" priority="1680" stopIfTrue="1" operator="lessThan">
      <formula>0.001</formula>
    </cfRule>
  </conditionalFormatting>
  <conditionalFormatting sqref="BH691">
    <cfRule type="cellIs" dxfId="1678" priority="1679" stopIfTrue="1" operator="lessThan">
      <formula>0.001</formula>
    </cfRule>
  </conditionalFormatting>
  <conditionalFormatting sqref="BH694">
    <cfRule type="cellIs" dxfId="1677" priority="1678" stopIfTrue="1" operator="lessThan">
      <formula>0.001</formula>
    </cfRule>
  </conditionalFormatting>
  <conditionalFormatting sqref="BH695">
    <cfRule type="cellIs" dxfId="1676" priority="1677" stopIfTrue="1" operator="lessThan">
      <formula>0.001</formula>
    </cfRule>
  </conditionalFormatting>
  <conditionalFormatting sqref="BH698">
    <cfRule type="cellIs" dxfId="1675" priority="1676" stopIfTrue="1" operator="lessThan">
      <formula>0.001</formula>
    </cfRule>
  </conditionalFormatting>
  <conditionalFormatting sqref="BH699">
    <cfRule type="cellIs" dxfId="1674" priority="1675" stopIfTrue="1" operator="lessThan">
      <formula>0.001</formula>
    </cfRule>
  </conditionalFormatting>
  <conditionalFormatting sqref="BH700">
    <cfRule type="cellIs" dxfId="1673" priority="1674" stopIfTrue="1" operator="lessThan">
      <formula>0.001</formula>
    </cfRule>
  </conditionalFormatting>
  <conditionalFormatting sqref="BH701:BH703">
    <cfRule type="cellIs" dxfId="1672" priority="1673" stopIfTrue="1" operator="lessThan">
      <formula>0.001</formula>
    </cfRule>
  </conditionalFormatting>
  <conditionalFormatting sqref="BH704">
    <cfRule type="cellIs" dxfId="1671" priority="1672" stopIfTrue="1" operator="lessThan">
      <formula>0.001</formula>
    </cfRule>
  </conditionalFormatting>
  <conditionalFormatting sqref="BH705">
    <cfRule type="cellIs" dxfId="1670" priority="1671" stopIfTrue="1" operator="lessThan">
      <formula>0.001</formula>
    </cfRule>
  </conditionalFormatting>
  <conditionalFormatting sqref="BH707:BH709">
    <cfRule type="cellIs" dxfId="1669" priority="1670" stopIfTrue="1" operator="lessThan">
      <formula>0.001</formula>
    </cfRule>
  </conditionalFormatting>
  <conditionalFormatting sqref="BH706">
    <cfRule type="cellIs" dxfId="1668" priority="1669" stopIfTrue="1" operator="lessThan">
      <formula>0.001</formula>
    </cfRule>
  </conditionalFormatting>
  <conditionalFormatting sqref="BH710">
    <cfRule type="cellIs" dxfId="1667" priority="1668" stopIfTrue="1" operator="lessThan">
      <formula>0.001</formula>
    </cfRule>
  </conditionalFormatting>
  <conditionalFormatting sqref="BH711:BH716">
    <cfRule type="cellIs" dxfId="1666" priority="1667" stopIfTrue="1" operator="lessThan">
      <formula>0.001</formula>
    </cfRule>
  </conditionalFormatting>
  <conditionalFormatting sqref="BH717">
    <cfRule type="cellIs" dxfId="1665" priority="1666" stopIfTrue="1" operator="lessThan">
      <formula>0.001</formula>
    </cfRule>
  </conditionalFormatting>
  <conditionalFormatting sqref="BH718:BH720">
    <cfRule type="cellIs" dxfId="1664" priority="1665" stopIfTrue="1" operator="lessThan">
      <formula>0.001</formula>
    </cfRule>
  </conditionalFormatting>
  <conditionalFormatting sqref="BH721">
    <cfRule type="cellIs" dxfId="1663" priority="1664" stopIfTrue="1" operator="lessThan">
      <formula>0.001</formula>
    </cfRule>
  </conditionalFormatting>
  <conditionalFormatting sqref="BH722:BH724">
    <cfRule type="cellIs" dxfId="1662" priority="1663" stopIfTrue="1" operator="lessThan">
      <formula>0.001</formula>
    </cfRule>
  </conditionalFormatting>
  <conditionalFormatting sqref="BH725">
    <cfRule type="cellIs" dxfId="1661" priority="1662" stopIfTrue="1" operator="lessThan">
      <formula>0.001</formula>
    </cfRule>
  </conditionalFormatting>
  <conditionalFormatting sqref="BH726">
    <cfRule type="cellIs" dxfId="1660" priority="1661" stopIfTrue="1" operator="lessThan">
      <formula>0.001</formula>
    </cfRule>
  </conditionalFormatting>
  <conditionalFormatting sqref="BH727">
    <cfRule type="cellIs" dxfId="1659" priority="1660" stopIfTrue="1" operator="lessThan">
      <formula>0.001</formula>
    </cfRule>
  </conditionalFormatting>
  <conditionalFormatting sqref="BH728:BH730">
    <cfRule type="cellIs" dxfId="1658" priority="1659" stopIfTrue="1" operator="lessThan">
      <formula>0.001</formula>
    </cfRule>
  </conditionalFormatting>
  <conditionalFormatting sqref="BH731">
    <cfRule type="cellIs" dxfId="1657" priority="1658" stopIfTrue="1" operator="lessThan">
      <formula>0.001</formula>
    </cfRule>
  </conditionalFormatting>
  <conditionalFormatting sqref="BH732">
    <cfRule type="cellIs" dxfId="1656" priority="1657" stopIfTrue="1" operator="lessThan">
      <formula>0.001</formula>
    </cfRule>
  </conditionalFormatting>
  <conditionalFormatting sqref="BH733">
    <cfRule type="cellIs" dxfId="1655" priority="1656" stopIfTrue="1" operator="lessThan">
      <formula>0.001</formula>
    </cfRule>
  </conditionalFormatting>
  <conditionalFormatting sqref="BH734:BH735">
    <cfRule type="cellIs" dxfId="1654" priority="1655" stopIfTrue="1" operator="lessThan">
      <formula>0.001</formula>
    </cfRule>
  </conditionalFormatting>
  <conditionalFormatting sqref="BH736">
    <cfRule type="cellIs" dxfId="1653" priority="1654" stopIfTrue="1" operator="lessThan">
      <formula>0.001</formula>
    </cfRule>
  </conditionalFormatting>
  <conditionalFormatting sqref="BH737:BH739">
    <cfRule type="cellIs" dxfId="1652" priority="1653" stopIfTrue="1" operator="lessThan">
      <formula>0.001</formula>
    </cfRule>
  </conditionalFormatting>
  <conditionalFormatting sqref="BI681">
    <cfRule type="cellIs" dxfId="1651" priority="1652" stopIfTrue="1" operator="lessThan">
      <formula>0.001</formula>
    </cfRule>
  </conditionalFormatting>
  <conditionalFormatting sqref="BI682">
    <cfRule type="cellIs" dxfId="1650" priority="1651" stopIfTrue="1" operator="lessThan">
      <formula>0.001</formula>
    </cfRule>
  </conditionalFormatting>
  <conditionalFormatting sqref="BI683:BI690">
    <cfRule type="cellIs" dxfId="1649" priority="1650" stopIfTrue="1" operator="lessThan">
      <formula>0.001</formula>
    </cfRule>
  </conditionalFormatting>
  <conditionalFormatting sqref="BI691">
    <cfRule type="cellIs" dxfId="1648" priority="1649" stopIfTrue="1" operator="lessThan">
      <formula>0.001</formula>
    </cfRule>
  </conditionalFormatting>
  <conditionalFormatting sqref="BI694">
    <cfRule type="cellIs" dxfId="1647" priority="1648" stopIfTrue="1" operator="lessThan">
      <formula>0.001</formula>
    </cfRule>
  </conditionalFormatting>
  <conditionalFormatting sqref="BI695">
    <cfRule type="cellIs" dxfId="1646" priority="1647" stopIfTrue="1" operator="lessThan">
      <formula>0.001</formula>
    </cfRule>
  </conditionalFormatting>
  <conditionalFormatting sqref="BI698">
    <cfRule type="cellIs" dxfId="1645" priority="1646" stopIfTrue="1" operator="lessThan">
      <formula>0.001</formula>
    </cfRule>
  </conditionalFormatting>
  <conditionalFormatting sqref="BI699">
    <cfRule type="cellIs" dxfId="1644" priority="1645" stopIfTrue="1" operator="lessThan">
      <formula>0.001</formula>
    </cfRule>
  </conditionalFormatting>
  <conditionalFormatting sqref="BI700">
    <cfRule type="cellIs" dxfId="1643" priority="1644" stopIfTrue="1" operator="lessThan">
      <formula>0.001</formula>
    </cfRule>
  </conditionalFormatting>
  <conditionalFormatting sqref="BI701:BI703">
    <cfRule type="cellIs" dxfId="1642" priority="1643" stopIfTrue="1" operator="lessThan">
      <formula>0.001</formula>
    </cfRule>
  </conditionalFormatting>
  <conditionalFormatting sqref="BI704">
    <cfRule type="cellIs" dxfId="1641" priority="1642" stopIfTrue="1" operator="lessThan">
      <formula>0.001</formula>
    </cfRule>
  </conditionalFormatting>
  <conditionalFormatting sqref="BI705">
    <cfRule type="cellIs" dxfId="1640" priority="1641" stopIfTrue="1" operator="lessThan">
      <formula>0.001</formula>
    </cfRule>
  </conditionalFormatting>
  <conditionalFormatting sqref="BI707:BI709">
    <cfRule type="cellIs" dxfId="1639" priority="1640" stopIfTrue="1" operator="lessThan">
      <formula>0.001</formula>
    </cfRule>
  </conditionalFormatting>
  <conditionalFormatting sqref="BI706">
    <cfRule type="cellIs" dxfId="1638" priority="1639" stopIfTrue="1" operator="lessThan">
      <formula>0.001</formula>
    </cfRule>
  </conditionalFormatting>
  <conditionalFormatting sqref="BI710">
    <cfRule type="cellIs" dxfId="1637" priority="1638" stopIfTrue="1" operator="lessThan">
      <formula>0.001</formula>
    </cfRule>
  </conditionalFormatting>
  <conditionalFormatting sqref="BI711:BI716">
    <cfRule type="cellIs" dxfId="1636" priority="1637" stopIfTrue="1" operator="lessThan">
      <formula>0.001</formula>
    </cfRule>
  </conditionalFormatting>
  <conditionalFormatting sqref="BI717">
    <cfRule type="cellIs" dxfId="1635" priority="1636" stopIfTrue="1" operator="lessThan">
      <formula>0.001</formula>
    </cfRule>
  </conditionalFormatting>
  <conditionalFormatting sqref="BI718:BI720">
    <cfRule type="cellIs" dxfId="1634" priority="1635" stopIfTrue="1" operator="lessThan">
      <formula>0.001</formula>
    </cfRule>
  </conditionalFormatting>
  <conditionalFormatting sqref="BI721">
    <cfRule type="cellIs" dxfId="1633" priority="1634" stopIfTrue="1" operator="lessThan">
      <formula>0.001</formula>
    </cfRule>
  </conditionalFormatting>
  <conditionalFormatting sqref="BI722:BI724">
    <cfRule type="cellIs" dxfId="1632" priority="1633" stopIfTrue="1" operator="lessThan">
      <formula>0.001</formula>
    </cfRule>
  </conditionalFormatting>
  <conditionalFormatting sqref="BI725">
    <cfRule type="cellIs" dxfId="1631" priority="1632" stopIfTrue="1" operator="lessThan">
      <formula>0.001</formula>
    </cfRule>
  </conditionalFormatting>
  <conditionalFormatting sqref="BI726">
    <cfRule type="cellIs" dxfId="1630" priority="1631" stopIfTrue="1" operator="lessThan">
      <formula>0.001</formula>
    </cfRule>
  </conditionalFormatting>
  <conditionalFormatting sqref="BI727">
    <cfRule type="cellIs" dxfId="1629" priority="1630" stopIfTrue="1" operator="lessThan">
      <formula>0.001</formula>
    </cfRule>
  </conditionalFormatting>
  <conditionalFormatting sqref="BI728:BI730">
    <cfRule type="cellIs" dxfId="1628" priority="1629" stopIfTrue="1" operator="lessThan">
      <formula>0.001</formula>
    </cfRule>
  </conditionalFormatting>
  <conditionalFormatting sqref="BI731">
    <cfRule type="cellIs" dxfId="1627" priority="1628" stopIfTrue="1" operator="lessThan">
      <formula>0.001</formula>
    </cfRule>
  </conditionalFormatting>
  <conditionalFormatting sqref="BI732">
    <cfRule type="cellIs" dxfId="1626" priority="1627" stopIfTrue="1" operator="lessThan">
      <formula>0.001</formula>
    </cfRule>
  </conditionalFormatting>
  <conditionalFormatting sqref="BI733">
    <cfRule type="cellIs" dxfId="1625" priority="1626" stopIfTrue="1" operator="lessThan">
      <formula>0.001</formula>
    </cfRule>
  </conditionalFormatting>
  <conditionalFormatting sqref="BI734:BI735">
    <cfRule type="cellIs" dxfId="1624" priority="1625" stopIfTrue="1" operator="lessThan">
      <formula>0.001</formula>
    </cfRule>
  </conditionalFormatting>
  <conditionalFormatting sqref="BI736">
    <cfRule type="cellIs" dxfId="1623" priority="1624" stopIfTrue="1" operator="lessThan">
      <formula>0.001</formula>
    </cfRule>
  </conditionalFormatting>
  <conditionalFormatting sqref="BI737:BI739">
    <cfRule type="cellIs" dxfId="1622" priority="1623" stopIfTrue="1" operator="lessThan">
      <formula>0.001</formula>
    </cfRule>
  </conditionalFormatting>
  <conditionalFormatting sqref="BG681">
    <cfRule type="cellIs" dxfId="1621" priority="1622" stopIfTrue="1" operator="lessThan">
      <formula>0.001</formula>
    </cfRule>
  </conditionalFormatting>
  <conditionalFormatting sqref="BG682">
    <cfRule type="cellIs" dxfId="1620" priority="1621" stopIfTrue="1" operator="lessThan">
      <formula>0.001</formula>
    </cfRule>
  </conditionalFormatting>
  <conditionalFormatting sqref="BG683:BG690">
    <cfRule type="cellIs" dxfId="1619" priority="1620" stopIfTrue="1" operator="lessThan">
      <formula>0.001</formula>
    </cfRule>
  </conditionalFormatting>
  <conditionalFormatting sqref="BG691">
    <cfRule type="cellIs" dxfId="1618" priority="1619" stopIfTrue="1" operator="lessThan">
      <formula>0.001</formula>
    </cfRule>
  </conditionalFormatting>
  <conditionalFormatting sqref="BG694">
    <cfRule type="cellIs" dxfId="1617" priority="1618" stopIfTrue="1" operator="lessThan">
      <formula>0.001</formula>
    </cfRule>
  </conditionalFormatting>
  <conditionalFormatting sqref="BG695">
    <cfRule type="cellIs" dxfId="1616" priority="1617" stopIfTrue="1" operator="lessThan">
      <formula>0.001</formula>
    </cfRule>
  </conditionalFormatting>
  <conditionalFormatting sqref="BG698">
    <cfRule type="cellIs" dxfId="1615" priority="1616" stopIfTrue="1" operator="lessThan">
      <formula>0.001</formula>
    </cfRule>
  </conditionalFormatting>
  <conditionalFormatting sqref="BG699">
    <cfRule type="cellIs" dxfId="1614" priority="1615" stopIfTrue="1" operator="lessThan">
      <formula>0.001</formula>
    </cfRule>
  </conditionalFormatting>
  <conditionalFormatting sqref="BG700">
    <cfRule type="cellIs" dxfId="1613" priority="1614" stopIfTrue="1" operator="lessThan">
      <formula>0.001</formula>
    </cfRule>
  </conditionalFormatting>
  <conditionalFormatting sqref="BG701:BG703">
    <cfRule type="cellIs" dxfId="1612" priority="1613" stopIfTrue="1" operator="lessThan">
      <formula>0.001</formula>
    </cfRule>
  </conditionalFormatting>
  <conditionalFormatting sqref="BG704">
    <cfRule type="cellIs" dxfId="1611" priority="1612" stopIfTrue="1" operator="lessThan">
      <formula>0.001</formula>
    </cfRule>
  </conditionalFormatting>
  <conditionalFormatting sqref="BG705">
    <cfRule type="cellIs" dxfId="1610" priority="1611" stopIfTrue="1" operator="lessThan">
      <formula>0.001</formula>
    </cfRule>
  </conditionalFormatting>
  <conditionalFormatting sqref="BG707:BG709">
    <cfRule type="cellIs" dxfId="1609" priority="1610" stopIfTrue="1" operator="lessThan">
      <formula>0.001</formula>
    </cfRule>
  </conditionalFormatting>
  <conditionalFormatting sqref="BG706">
    <cfRule type="cellIs" dxfId="1608" priority="1609" stopIfTrue="1" operator="lessThan">
      <formula>0.001</formula>
    </cfRule>
  </conditionalFormatting>
  <conditionalFormatting sqref="BG710">
    <cfRule type="cellIs" dxfId="1607" priority="1608" stopIfTrue="1" operator="lessThan">
      <formula>0.001</formula>
    </cfRule>
  </conditionalFormatting>
  <conditionalFormatting sqref="BG711:BG716">
    <cfRule type="cellIs" dxfId="1606" priority="1607" stopIfTrue="1" operator="lessThan">
      <formula>0.001</formula>
    </cfRule>
  </conditionalFormatting>
  <conditionalFormatting sqref="BG717">
    <cfRule type="cellIs" dxfId="1605" priority="1606" stopIfTrue="1" operator="lessThan">
      <formula>0.001</formula>
    </cfRule>
  </conditionalFormatting>
  <conditionalFormatting sqref="BG718:BG720">
    <cfRule type="cellIs" dxfId="1604" priority="1605" stopIfTrue="1" operator="lessThan">
      <formula>0.001</formula>
    </cfRule>
  </conditionalFormatting>
  <conditionalFormatting sqref="BG721">
    <cfRule type="cellIs" dxfId="1603" priority="1604" stopIfTrue="1" operator="lessThan">
      <formula>0.001</formula>
    </cfRule>
  </conditionalFormatting>
  <conditionalFormatting sqref="BG722:BG724">
    <cfRule type="cellIs" dxfId="1602" priority="1603" stopIfTrue="1" operator="lessThan">
      <formula>0.001</formula>
    </cfRule>
  </conditionalFormatting>
  <conditionalFormatting sqref="BG725">
    <cfRule type="cellIs" dxfId="1601" priority="1602" stopIfTrue="1" operator="lessThan">
      <formula>0.001</formula>
    </cfRule>
  </conditionalFormatting>
  <conditionalFormatting sqref="BG726">
    <cfRule type="cellIs" dxfId="1600" priority="1601" stopIfTrue="1" operator="lessThan">
      <formula>0.001</formula>
    </cfRule>
  </conditionalFormatting>
  <conditionalFormatting sqref="BG727">
    <cfRule type="cellIs" dxfId="1599" priority="1600" stopIfTrue="1" operator="lessThan">
      <formula>0.001</formula>
    </cfRule>
  </conditionalFormatting>
  <conditionalFormatting sqref="BG728:BG730">
    <cfRule type="cellIs" dxfId="1598" priority="1599" stopIfTrue="1" operator="lessThan">
      <formula>0.001</formula>
    </cfRule>
  </conditionalFormatting>
  <conditionalFormatting sqref="BG731">
    <cfRule type="cellIs" dxfId="1597" priority="1598" stopIfTrue="1" operator="lessThan">
      <formula>0.001</formula>
    </cfRule>
  </conditionalFormatting>
  <conditionalFormatting sqref="BG732">
    <cfRule type="cellIs" dxfId="1596" priority="1597" stopIfTrue="1" operator="lessThan">
      <formula>0.001</formula>
    </cfRule>
  </conditionalFormatting>
  <conditionalFormatting sqref="BG733">
    <cfRule type="cellIs" dxfId="1595" priority="1596" stopIfTrue="1" operator="lessThan">
      <formula>0.001</formula>
    </cfRule>
  </conditionalFormatting>
  <conditionalFormatting sqref="BG734:BG735">
    <cfRule type="cellIs" dxfId="1594" priority="1595" stopIfTrue="1" operator="lessThan">
      <formula>0.001</formula>
    </cfRule>
  </conditionalFormatting>
  <conditionalFormatting sqref="BG736">
    <cfRule type="cellIs" dxfId="1593" priority="1594" stopIfTrue="1" operator="lessThan">
      <formula>0.001</formula>
    </cfRule>
  </conditionalFormatting>
  <conditionalFormatting sqref="BG737:BG739">
    <cfRule type="cellIs" dxfId="1592" priority="1593" stopIfTrue="1" operator="lessThan">
      <formula>0.001</formula>
    </cfRule>
  </conditionalFormatting>
  <conditionalFormatting sqref="BE681:BE691 BE694:BE695 BE698:BE739">
    <cfRule type="cellIs" dxfId="1591" priority="1592" stopIfTrue="1" operator="lessThan">
      <formula>0.001</formula>
    </cfRule>
  </conditionalFormatting>
  <conditionalFormatting sqref="BE681">
    <cfRule type="cellIs" dxfId="1590" priority="1591" stopIfTrue="1" operator="lessThan">
      <formula>0.001</formula>
    </cfRule>
  </conditionalFormatting>
  <conditionalFormatting sqref="BE682">
    <cfRule type="cellIs" dxfId="1589" priority="1590" stopIfTrue="1" operator="lessThan">
      <formula>0.001</formula>
    </cfRule>
  </conditionalFormatting>
  <conditionalFormatting sqref="BE683:BE690">
    <cfRule type="cellIs" dxfId="1588" priority="1589" stopIfTrue="1" operator="lessThan">
      <formula>0.001</formula>
    </cfRule>
  </conditionalFormatting>
  <conditionalFormatting sqref="BE691">
    <cfRule type="cellIs" dxfId="1587" priority="1588" stopIfTrue="1" operator="lessThan">
      <formula>0.001</formula>
    </cfRule>
  </conditionalFormatting>
  <conditionalFormatting sqref="BE694">
    <cfRule type="cellIs" dxfId="1586" priority="1587" stopIfTrue="1" operator="lessThan">
      <formula>0.001</formula>
    </cfRule>
  </conditionalFormatting>
  <conditionalFormatting sqref="BE695">
    <cfRule type="cellIs" dxfId="1585" priority="1586" stopIfTrue="1" operator="lessThan">
      <formula>0.001</formula>
    </cfRule>
  </conditionalFormatting>
  <conditionalFormatting sqref="BE698">
    <cfRule type="cellIs" dxfId="1584" priority="1585" stopIfTrue="1" operator="lessThan">
      <formula>0.001</formula>
    </cfRule>
  </conditionalFormatting>
  <conditionalFormatting sqref="BE699">
    <cfRule type="cellIs" dxfId="1583" priority="1584" stopIfTrue="1" operator="lessThan">
      <formula>0.001</formula>
    </cfRule>
  </conditionalFormatting>
  <conditionalFormatting sqref="BE700">
    <cfRule type="cellIs" dxfId="1582" priority="1583" stopIfTrue="1" operator="lessThan">
      <formula>0.001</formula>
    </cfRule>
  </conditionalFormatting>
  <conditionalFormatting sqref="BE701:BE703">
    <cfRule type="cellIs" dxfId="1581" priority="1582" stopIfTrue="1" operator="lessThan">
      <formula>0.001</formula>
    </cfRule>
  </conditionalFormatting>
  <conditionalFormatting sqref="BE704">
    <cfRule type="cellIs" dxfId="1580" priority="1581" stopIfTrue="1" operator="lessThan">
      <formula>0.001</formula>
    </cfRule>
  </conditionalFormatting>
  <conditionalFormatting sqref="BE705">
    <cfRule type="cellIs" dxfId="1579" priority="1580" stopIfTrue="1" operator="lessThan">
      <formula>0.001</formula>
    </cfRule>
  </conditionalFormatting>
  <conditionalFormatting sqref="BE707:BE709">
    <cfRule type="cellIs" dxfId="1578" priority="1579" stopIfTrue="1" operator="lessThan">
      <formula>0.001</formula>
    </cfRule>
  </conditionalFormatting>
  <conditionalFormatting sqref="BE706">
    <cfRule type="cellIs" dxfId="1577" priority="1578" stopIfTrue="1" operator="lessThan">
      <formula>0.001</formula>
    </cfRule>
  </conditionalFormatting>
  <conditionalFormatting sqref="BE710">
    <cfRule type="cellIs" dxfId="1576" priority="1577" stopIfTrue="1" operator="lessThan">
      <formula>0.001</formula>
    </cfRule>
  </conditionalFormatting>
  <conditionalFormatting sqref="BE711:BE716">
    <cfRule type="cellIs" dxfId="1575" priority="1576" stopIfTrue="1" operator="lessThan">
      <formula>0.001</formula>
    </cfRule>
  </conditionalFormatting>
  <conditionalFormatting sqref="BE717">
    <cfRule type="cellIs" dxfId="1574" priority="1575" stopIfTrue="1" operator="lessThan">
      <formula>0.001</formula>
    </cfRule>
  </conditionalFormatting>
  <conditionalFormatting sqref="BE718:BE720">
    <cfRule type="cellIs" dxfId="1573" priority="1574" stopIfTrue="1" operator="lessThan">
      <formula>0.001</formula>
    </cfRule>
  </conditionalFormatting>
  <conditionalFormatting sqref="BE721">
    <cfRule type="cellIs" dxfId="1572" priority="1573" stopIfTrue="1" operator="lessThan">
      <formula>0.001</formula>
    </cfRule>
  </conditionalFormatting>
  <conditionalFormatting sqref="BE722:BE724">
    <cfRule type="cellIs" dxfId="1571" priority="1572" stopIfTrue="1" operator="lessThan">
      <formula>0.001</formula>
    </cfRule>
  </conditionalFormatting>
  <conditionalFormatting sqref="BE725">
    <cfRule type="cellIs" dxfId="1570" priority="1571" stopIfTrue="1" operator="lessThan">
      <formula>0.001</formula>
    </cfRule>
  </conditionalFormatting>
  <conditionalFormatting sqref="BE726">
    <cfRule type="cellIs" dxfId="1569" priority="1570" stopIfTrue="1" operator="lessThan">
      <formula>0.001</formula>
    </cfRule>
  </conditionalFormatting>
  <conditionalFormatting sqref="BE727">
    <cfRule type="cellIs" dxfId="1568" priority="1569" stopIfTrue="1" operator="lessThan">
      <formula>0.001</formula>
    </cfRule>
  </conditionalFormatting>
  <conditionalFormatting sqref="BE728:BE730">
    <cfRule type="cellIs" dxfId="1567" priority="1568" stopIfTrue="1" operator="lessThan">
      <formula>0.001</formula>
    </cfRule>
  </conditionalFormatting>
  <conditionalFormatting sqref="BE731">
    <cfRule type="cellIs" dxfId="1566" priority="1567" stopIfTrue="1" operator="lessThan">
      <formula>0.001</formula>
    </cfRule>
  </conditionalFormatting>
  <conditionalFormatting sqref="BE732">
    <cfRule type="cellIs" dxfId="1565" priority="1566" stopIfTrue="1" operator="lessThan">
      <formula>0.001</formula>
    </cfRule>
  </conditionalFormatting>
  <conditionalFormatting sqref="BE733">
    <cfRule type="cellIs" dxfId="1564" priority="1565" stopIfTrue="1" operator="lessThan">
      <formula>0.001</formula>
    </cfRule>
  </conditionalFormatting>
  <conditionalFormatting sqref="BE734:BE735">
    <cfRule type="cellIs" dxfId="1563" priority="1564" stopIfTrue="1" operator="lessThan">
      <formula>0.001</formula>
    </cfRule>
  </conditionalFormatting>
  <conditionalFormatting sqref="BE736">
    <cfRule type="cellIs" dxfId="1562" priority="1563" stopIfTrue="1" operator="lessThan">
      <formula>0.001</formula>
    </cfRule>
  </conditionalFormatting>
  <conditionalFormatting sqref="BE737:BE739">
    <cfRule type="cellIs" dxfId="1561" priority="1562" stopIfTrue="1" operator="lessThan">
      <formula>0.001</formula>
    </cfRule>
  </conditionalFormatting>
  <conditionalFormatting sqref="BD681:BD691 BD694:BD695 BD698:BD739">
    <cfRule type="cellIs" dxfId="1560" priority="1561" stopIfTrue="1" operator="lessThan">
      <formula>0.001</formula>
    </cfRule>
  </conditionalFormatting>
  <conditionalFormatting sqref="BD681">
    <cfRule type="cellIs" dxfId="1559" priority="1560" stopIfTrue="1" operator="lessThan">
      <formula>0.001</formula>
    </cfRule>
  </conditionalFormatting>
  <conditionalFormatting sqref="BD682">
    <cfRule type="cellIs" dxfId="1558" priority="1559" stopIfTrue="1" operator="lessThan">
      <formula>0.001</formula>
    </cfRule>
  </conditionalFormatting>
  <conditionalFormatting sqref="BD683:BD690">
    <cfRule type="cellIs" dxfId="1557" priority="1558" stopIfTrue="1" operator="lessThan">
      <formula>0.001</formula>
    </cfRule>
  </conditionalFormatting>
  <conditionalFormatting sqref="BD691">
    <cfRule type="cellIs" dxfId="1556" priority="1557" stopIfTrue="1" operator="lessThan">
      <formula>0.001</formula>
    </cfRule>
  </conditionalFormatting>
  <conditionalFormatting sqref="BD694">
    <cfRule type="cellIs" dxfId="1555" priority="1556" stopIfTrue="1" operator="lessThan">
      <formula>0.001</formula>
    </cfRule>
  </conditionalFormatting>
  <conditionalFormatting sqref="BD695">
    <cfRule type="cellIs" dxfId="1554" priority="1555" stopIfTrue="1" operator="lessThan">
      <formula>0.001</formula>
    </cfRule>
  </conditionalFormatting>
  <conditionalFormatting sqref="BD698">
    <cfRule type="cellIs" dxfId="1553" priority="1554" stopIfTrue="1" operator="lessThan">
      <formula>0.001</formula>
    </cfRule>
  </conditionalFormatting>
  <conditionalFormatting sqref="BD699">
    <cfRule type="cellIs" dxfId="1552" priority="1553" stopIfTrue="1" operator="lessThan">
      <formula>0.001</formula>
    </cfRule>
  </conditionalFormatting>
  <conditionalFormatting sqref="BD700">
    <cfRule type="cellIs" dxfId="1551" priority="1552" stopIfTrue="1" operator="lessThan">
      <formula>0.001</formula>
    </cfRule>
  </conditionalFormatting>
  <conditionalFormatting sqref="BD701:BD703">
    <cfRule type="cellIs" dxfId="1550" priority="1551" stopIfTrue="1" operator="lessThan">
      <formula>0.001</formula>
    </cfRule>
  </conditionalFormatting>
  <conditionalFormatting sqref="BD704">
    <cfRule type="cellIs" dxfId="1549" priority="1550" stopIfTrue="1" operator="lessThan">
      <formula>0.001</formula>
    </cfRule>
  </conditionalFormatting>
  <conditionalFormatting sqref="BD705">
    <cfRule type="cellIs" dxfId="1548" priority="1549" stopIfTrue="1" operator="lessThan">
      <formula>0.001</formula>
    </cfRule>
  </conditionalFormatting>
  <conditionalFormatting sqref="BD707:BD709">
    <cfRule type="cellIs" dxfId="1547" priority="1548" stopIfTrue="1" operator="lessThan">
      <formula>0.001</formula>
    </cfRule>
  </conditionalFormatting>
  <conditionalFormatting sqref="BD706">
    <cfRule type="cellIs" dxfId="1546" priority="1547" stopIfTrue="1" operator="lessThan">
      <formula>0.001</formula>
    </cfRule>
  </conditionalFormatting>
  <conditionalFormatting sqref="BD710">
    <cfRule type="cellIs" dxfId="1545" priority="1546" stopIfTrue="1" operator="lessThan">
      <formula>0.001</formula>
    </cfRule>
  </conditionalFormatting>
  <conditionalFormatting sqref="BD711:BD716">
    <cfRule type="cellIs" dxfId="1544" priority="1545" stopIfTrue="1" operator="lessThan">
      <formula>0.001</formula>
    </cfRule>
  </conditionalFormatting>
  <conditionalFormatting sqref="BD717">
    <cfRule type="cellIs" dxfId="1543" priority="1544" stopIfTrue="1" operator="lessThan">
      <formula>0.001</formula>
    </cfRule>
  </conditionalFormatting>
  <conditionalFormatting sqref="BD718:BD720">
    <cfRule type="cellIs" dxfId="1542" priority="1543" stopIfTrue="1" operator="lessThan">
      <formula>0.001</formula>
    </cfRule>
  </conditionalFormatting>
  <conditionalFormatting sqref="BD721">
    <cfRule type="cellIs" dxfId="1541" priority="1542" stopIfTrue="1" operator="lessThan">
      <formula>0.001</formula>
    </cfRule>
  </conditionalFormatting>
  <conditionalFormatting sqref="BD722:BD724">
    <cfRule type="cellIs" dxfId="1540" priority="1541" stopIfTrue="1" operator="lessThan">
      <formula>0.001</formula>
    </cfRule>
  </conditionalFormatting>
  <conditionalFormatting sqref="BD725">
    <cfRule type="cellIs" dxfId="1539" priority="1540" stopIfTrue="1" operator="lessThan">
      <formula>0.001</formula>
    </cfRule>
  </conditionalFormatting>
  <conditionalFormatting sqref="BD726">
    <cfRule type="cellIs" dxfId="1538" priority="1539" stopIfTrue="1" operator="lessThan">
      <formula>0.001</formula>
    </cfRule>
  </conditionalFormatting>
  <conditionalFormatting sqref="BD727">
    <cfRule type="cellIs" dxfId="1537" priority="1538" stopIfTrue="1" operator="lessThan">
      <formula>0.001</formula>
    </cfRule>
  </conditionalFormatting>
  <conditionalFormatting sqref="BD728:BD730">
    <cfRule type="cellIs" dxfId="1536" priority="1537" stopIfTrue="1" operator="lessThan">
      <formula>0.001</formula>
    </cfRule>
  </conditionalFormatting>
  <conditionalFormatting sqref="BD731">
    <cfRule type="cellIs" dxfId="1535" priority="1536" stopIfTrue="1" operator="lessThan">
      <formula>0.001</formula>
    </cfRule>
  </conditionalFormatting>
  <conditionalFormatting sqref="BD732">
    <cfRule type="cellIs" dxfId="1534" priority="1535" stopIfTrue="1" operator="lessThan">
      <formula>0.001</formula>
    </cfRule>
  </conditionalFormatting>
  <conditionalFormatting sqref="BD733">
    <cfRule type="cellIs" dxfId="1533" priority="1534" stopIfTrue="1" operator="lessThan">
      <formula>0.001</formula>
    </cfRule>
  </conditionalFormatting>
  <conditionalFormatting sqref="BD734:BD735">
    <cfRule type="cellIs" dxfId="1532" priority="1533" stopIfTrue="1" operator="lessThan">
      <formula>0.001</formula>
    </cfRule>
  </conditionalFormatting>
  <conditionalFormatting sqref="BD736">
    <cfRule type="cellIs" dxfId="1531" priority="1532" stopIfTrue="1" operator="lessThan">
      <formula>0.001</formula>
    </cfRule>
  </conditionalFormatting>
  <conditionalFormatting sqref="BD737:BD739">
    <cfRule type="cellIs" dxfId="1530" priority="1531" stopIfTrue="1" operator="lessThan">
      <formula>0.001</formula>
    </cfRule>
  </conditionalFormatting>
  <conditionalFormatting sqref="BF681:BF691 BF694:BF695 BF698:BF739">
    <cfRule type="cellIs" dxfId="1529" priority="1530" stopIfTrue="1" operator="lessThan">
      <formula>0.001</formula>
    </cfRule>
  </conditionalFormatting>
  <conditionalFormatting sqref="BF681">
    <cfRule type="cellIs" dxfId="1528" priority="1529" stopIfTrue="1" operator="lessThan">
      <formula>0.001</formula>
    </cfRule>
  </conditionalFormatting>
  <conditionalFormatting sqref="BF682">
    <cfRule type="cellIs" dxfId="1527" priority="1528" stopIfTrue="1" operator="lessThan">
      <formula>0.001</formula>
    </cfRule>
  </conditionalFormatting>
  <conditionalFormatting sqref="BF683:BF690">
    <cfRule type="cellIs" dxfId="1526" priority="1527" stopIfTrue="1" operator="lessThan">
      <formula>0.001</formula>
    </cfRule>
  </conditionalFormatting>
  <conditionalFormatting sqref="BF691">
    <cfRule type="cellIs" dxfId="1525" priority="1526" stopIfTrue="1" operator="lessThan">
      <formula>0.001</formula>
    </cfRule>
  </conditionalFormatting>
  <conditionalFormatting sqref="BF694">
    <cfRule type="cellIs" dxfId="1524" priority="1525" stopIfTrue="1" operator="lessThan">
      <formula>0.001</formula>
    </cfRule>
  </conditionalFormatting>
  <conditionalFormatting sqref="BF695">
    <cfRule type="cellIs" dxfId="1523" priority="1524" stopIfTrue="1" operator="lessThan">
      <formula>0.001</formula>
    </cfRule>
  </conditionalFormatting>
  <conditionalFormatting sqref="BF698">
    <cfRule type="cellIs" dxfId="1522" priority="1523" stopIfTrue="1" operator="lessThan">
      <formula>0.001</formula>
    </cfRule>
  </conditionalFormatting>
  <conditionalFormatting sqref="BF699">
    <cfRule type="cellIs" dxfId="1521" priority="1522" stopIfTrue="1" operator="lessThan">
      <formula>0.001</formula>
    </cfRule>
  </conditionalFormatting>
  <conditionalFormatting sqref="BF700">
    <cfRule type="cellIs" dxfId="1520" priority="1521" stopIfTrue="1" operator="lessThan">
      <formula>0.001</formula>
    </cfRule>
  </conditionalFormatting>
  <conditionalFormatting sqref="BF701:BF703">
    <cfRule type="cellIs" dxfId="1519" priority="1520" stopIfTrue="1" operator="lessThan">
      <formula>0.001</formula>
    </cfRule>
  </conditionalFormatting>
  <conditionalFormatting sqref="BF704">
    <cfRule type="cellIs" dxfId="1518" priority="1519" stopIfTrue="1" operator="lessThan">
      <formula>0.001</formula>
    </cfRule>
  </conditionalFormatting>
  <conditionalFormatting sqref="BF705">
    <cfRule type="cellIs" dxfId="1517" priority="1518" stopIfTrue="1" operator="lessThan">
      <formula>0.001</formula>
    </cfRule>
  </conditionalFormatting>
  <conditionalFormatting sqref="BF707:BF709">
    <cfRule type="cellIs" dxfId="1516" priority="1517" stopIfTrue="1" operator="lessThan">
      <formula>0.001</formula>
    </cfRule>
  </conditionalFormatting>
  <conditionalFormatting sqref="BF706">
    <cfRule type="cellIs" dxfId="1515" priority="1516" stopIfTrue="1" operator="lessThan">
      <formula>0.001</formula>
    </cfRule>
  </conditionalFormatting>
  <conditionalFormatting sqref="BF710">
    <cfRule type="cellIs" dxfId="1514" priority="1515" stopIfTrue="1" operator="lessThan">
      <formula>0.001</formula>
    </cfRule>
  </conditionalFormatting>
  <conditionalFormatting sqref="BF711:BF716">
    <cfRule type="cellIs" dxfId="1513" priority="1514" stopIfTrue="1" operator="lessThan">
      <formula>0.001</formula>
    </cfRule>
  </conditionalFormatting>
  <conditionalFormatting sqref="BF717">
    <cfRule type="cellIs" dxfId="1512" priority="1513" stopIfTrue="1" operator="lessThan">
      <formula>0.001</formula>
    </cfRule>
  </conditionalFormatting>
  <conditionalFormatting sqref="BF718:BF720">
    <cfRule type="cellIs" dxfId="1511" priority="1512" stopIfTrue="1" operator="lessThan">
      <formula>0.001</formula>
    </cfRule>
  </conditionalFormatting>
  <conditionalFormatting sqref="BF721">
    <cfRule type="cellIs" dxfId="1510" priority="1511" stopIfTrue="1" operator="lessThan">
      <formula>0.001</formula>
    </cfRule>
  </conditionalFormatting>
  <conditionalFormatting sqref="BF722:BF724">
    <cfRule type="cellIs" dxfId="1509" priority="1510" stopIfTrue="1" operator="lessThan">
      <formula>0.001</formula>
    </cfRule>
  </conditionalFormatting>
  <conditionalFormatting sqref="BF725">
    <cfRule type="cellIs" dxfId="1508" priority="1509" stopIfTrue="1" operator="lessThan">
      <formula>0.001</formula>
    </cfRule>
  </conditionalFormatting>
  <conditionalFormatting sqref="BF726">
    <cfRule type="cellIs" dxfId="1507" priority="1508" stopIfTrue="1" operator="lessThan">
      <formula>0.001</formula>
    </cfRule>
  </conditionalFormatting>
  <conditionalFormatting sqref="BF727">
    <cfRule type="cellIs" dxfId="1506" priority="1507" stopIfTrue="1" operator="lessThan">
      <formula>0.001</formula>
    </cfRule>
  </conditionalFormatting>
  <conditionalFormatting sqref="BF728:BF730">
    <cfRule type="cellIs" dxfId="1505" priority="1506" stopIfTrue="1" operator="lessThan">
      <formula>0.001</formula>
    </cfRule>
  </conditionalFormatting>
  <conditionalFormatting sqref="BF731">
    <cfRule type="cellIs" dxfId="1504" priority="1505" stopIfTrue="1" operator="lessThan">
      <formula>0.001</formula>
    </cfRule>
  </conditionalFormatting>
  <conditionalFormatting sqref="BF732">
    <cfRule type="cellIs" dxfId="1503" priority="1504" stopIfTrue="1" operator="lessThan">
      <formula>0.001</formula>
    </cfRule>
  </conditionalFormatting>
  <conditionalFormatting sqref="BF733">
    <cfRule type="cellIs" dxfId="1502" priority="1503" stopIfTrue="1" operator="lessThan">
      <formula>0.001</formula>
    </cfRule>
  </conditionalFormatting>
  <conditionalFormatting sqref="BF734:BF735">
    <cfRule type="cellIs" dxfId="1501" priority="1502" stopIfTrue="1" operator="lessThan">
      <formula>0.001</formula>
    </cfRule>
  </conditionalFormatting>
  <conditionalFormatting sqref="BF736">
    <cfRule type="cellIs" dxfId="1500" priority="1501" stopIfTrue="1" operator="lessThan">
      <formula>0.001</formula>
    </cfRule>
  </conditionalFormatting>
  <conditionalFormatting sqref="BF737:BF739">
    <cfRule type="cellIs" dxfId="1499" priority="1500" stopIfTrue="1" operator="lessThan">
      <formula>0.001</formula>
    </cfRule>
  </conditionalFormatting>
  <conditionalFormatting sqref="BA681:BA691 BA694:BA695 BA698:BA739">
    <cfRule type="cellIs" dxfId="1498" priority="1499" stopIfTrue="1" operator="lessThan">
      <formula>0.001</formula>
    </cfRule>
  </conditionalFormatting>
  <conditionalFormatting sqref="BA681">
    <cfRule type="cellIs" dxfId="1497" priority="1498" stopIfTrue="1" operator="lessThan">
      <formula>0.001</formula>
    </cfRule>
  </conditionalFormatting>
  <conditionalFormatting sqref="BA682">
    <cfRule type="cellIs" dxfId="1496" priority="1497" stopIfTrue="1" operator="lessThan">
      <formula>0.001</formula>
    </cfRule>
  </conditionalFormatting>
  <conditionalFormatting sqref="BA683:BA690">
    <cfRule type="cellIs" dxfId="1495" priority="1496" stopIfTrue="1" operator="lessThan">
      <formula>0.001</formula>
    </cfRule>
  </conditionalFormatting>
  <conditionalFormatting sqref="BA691">
    <cfRule type="cellIs" dxfId="1494" priority="1495" stopIfTrue="1" operator="lessThan">
      <formula>0.001</formula>
    </cfRule>
  </conditionalFormatting>
  <conditionalFormatting sqref="BA694">
    <cfRule type="cellIs" dxfId="1493" priority="1494" stopIfTrue="1" operator="lessThan">
      <formula>0.001</formula>
    </cfRule>
  </conditionalFormatting>
  <conditionalFormatting sqref="BA695">
    <cfRule type="cellIs" dxfId="1492" priority="1493" stopIfTrue="1" operator="lessThan">
      <formula>0.001</formula>
    </cfRule>
  </conditionalFormatting>
  <conditionalFormatting sqref="BA698">
    <cfRule type="cellIs" dxfId="1491" priority="1492" stopIfTrue="1" operator="lessThan">
      <formula>0.001</formula>
    </cfRule>
  </conditionalFormatting>
  <conditionalFormatting sqref="BA699">
    <cfRule type="cellIs" dxfId="1490" priority="1491" stopIfTrue="1" operator="lessThan">
      <formula>0.001</formula>
    </cfRule>
  </conditionalFormatting>
  <conditionalFormatting sqref="BA700">
    <cfRule type="cellIs" dxfId="1489" priority="1490" stopIfTrue="1" operator="lessThan">
      <formula>0.001</formula>
    </cfRule>
  </conditionalFormatting>
  <conditionalFormatting sqref="BA701:BA703">
    <cfRule type="cellIs" dxfId="1488" priority="1489" stopIfTrue="1" operator="lessThan">
      <formula>0.001</formula>
    </cfRule>
  </conditionalFormatting>
  <conditionalFormatting sqref="BA704">
    <cfRule type="cellIs" dxfId="1487" priority="1488" stopIfTrue="1" operator="lessThan">
      <formula>0.001</formula>
    </cfRule>
  </conditionalFormatting>
  <conditionalFormatting sqref="BA705">
    <cfRule type="cellIs" dxfId="1486" priority="1487" stopIfTrue="1" operator="lessThan">
      <formula>0.001</formula>
    </cfRule>
  </conditionalFormatting>
  <conditionalFormatting sqref="BA707:BA709">
    <cfRule type="cellIs" dxfId="1485" priority="1486" stopIfTrue="1" operator="lessThan">
      <formula>0.001</formula>
    </cfRule>
  </conditionalFormatting>
  <conditionalFormatting sqref="BA706">
    <cfRule type="cellIs" dxfId="1484" priority="1485" stopIfTrue="1" operator="lessThan">
      <formula>0.001</formula>
    </cfRule>
  </conditionalFormatting>
  <conditionalFormatting sqref="BA710">
    <cfRule type="cellIs" dxfId="1483" priority="1484" stopIfTrue="1" operator="lessThan">
      <formula>0.001</formula>
    </cfRule>
  </conditionalFormatting>
  <conditionalFormatting sqref="BA711:BA716">
    <cfRule type="cellIs" dxfId="1482" priority="1483" stopIfTrue="1" operator="lessThan">
      <formula>0.001</formula>
    </cfRule>
  </conditionalFormatting>
  <conditionalFormatting sqref="BA717">
    <cfRule type="cellIs" dxfId="1481" priority="1482" stopIfTrue="1" operator="lessThan">
      <formula>0.001</formula>
    </cfRule>
  </conditionalFormatting>
  <conditionalFormatting sqref="BA718:BA720">
    <cfRule type="cellIs" dxfId="1480" priority="1481" stopIfTrue="1" operator="lessThan">
      <formula>0.001</formula>
    </cfRule>
  </conditionalFormatting>
  <conditionalFormatting sqref="BA721">
    <cfRule type="cellIs" dxfId="1479" priority="1480" stopIfTrue="1" operator="lessThan">
      <formula>0.001</formula>
    </cfRule>
  </conditionalFormatting>
  <conditionalFormatting sqref="BA722:BA724">
    <cfRule type="cellIs" dxfId="1478" priority="1479" stopIfTrue="1" operator="lessThan">
      <formula>0.001</formula>
    </cfRule>
  </conditionalFormatting>
  <conditionalFormatting sqref="BA725">
    <cfRule type="cellIs" dxfId="1477" priority="1478" stopIfTrue="1" operator="lessThan">
      <formula>0.001</formula>
    </cfRule>
  </conditionalFormatting>
  <conditionalFormatting sqref="BA726">
    <cfRule type="cellIs" dxfId="1476" priority="1477" stopIfTrue="1" operator="lessThan">
      <formula>0.001</formula>
    </cfRule>
  </conditionalFormatting>
  <conditionalFormatting sqref="BA727">
    <cfRule type="cellIs" dxfId="1475" priority="1476" stopIfTrue="1" operator="lessThan">
      <formula>0.001</formula>
    </cfRule>
  </conditionalFormatting>
  <conditionalFormatting sqref="BA728:BA730">
    <cfRule type="cellIs" dxfId="1474" priority="1475" stopIfTrue="1" operator="lessThan">
      <formula>0.001</formula>
    </cfRule>
  </conditionalFormatting>
  <conditionalFormatting sqref="BA731">
    <cfRule type="cellIs" dxfId="1473" priority="1474" stopIfTrue="1" operator="lessThan">
      <formula>0.001</formula>
    </cfRule>
  </conditionalFormatting>
  <conditionalFormatting sqref="BA732">
    <cfRule type="cellIs" dxfId="1472" priority="1473" stopIfTrue="1" operator="lessThan">
      <formula>0.001</formula>
    </cfRule>
  </conditionalFormatting>
  <conditionalFormatting sqref="BA733">
    <cfRule type="cellIs" dxfId="1471" priority="1472" stopIfTrue="1" operator="lessThan">
      <formula>0.001</formula>
    </cfRule>
  </conditionalFormatting>
  <conditionalFormatting sqref="BA734:BA735">
    <cfRule type="cellIs" dxfId="1470" priority="1471" stopIfTrue="1" operator="lessThan">
      <formula>0.001</formula>
    </cfRule>
  </conditionalFormatting>
  <conditionalFormatting sqref="BA736">
    <cfRule type="cellIs" dxfId="1469" priority="1470" stopIfTrue="1" operator="lessThan">
      <formula>0.001</formula>
    </cfRule>
  </conditionalFormatting>
  <conditionalFormatting sqref="BA737:BA739">
    <cfRule type="cellIs" dxfId="1468" priority="1469" stopIfTrue="1" operator="lessThan">
      <formula>0.001</formula>
    </cfRule>
  </conditionalFormatting>
  <conditionalFormatting sqref="BB681:BB691 BB694:BB695 BB698:BB739">
    <cfRule type="cellIs" dxfId="1467" priority="1468" stopIfTrue="1" operator="lessThan">
      <formula>0.001</formula>
    </cfRule>
  </conditionalFormatting>
  <conditionalFormatting sqref="BB681">
    <cfRule type="cellIs" dxfId="1466" priority="1467" stopIfTrue="1" operator="lessThan">
      <formula>0.001</formula>
    </cfRule>
  </conditionalFormatting>
  <conditionalFormatting sqref="BB682">
    <cfRule type="cellIs" dxfId="1465" priority="1466" stopIfTrue="1" operator="lessThan">
      <formula>0.001</formula>
    </cfRule>
  </conditionalFormatting>
  <conditionalFormatting sqref="BB683:BB690">
    <cfRule type="cellIs" dxfId="1464" priority="1465" stopIfTrue="1" operator="lessThan">
      <formula>0.001</formula>
    </cfRule>
  </conditionalFormatting>
  <conditionalFormatting sqref="BB691">
    <cfRule type="cellIs" dxfId="1463" priority="1464" stopIfTrue="1" operator="lessThan">
      <formula>0.001</formula>
    </cfRule>
  </conditionalFormatting>
  <conditionalFormatting sqref="BB694">
    <cfRule type="cellIs" dxfId="1462" priority="1463" stopIfTrue="1" operator="lessThan">
      <formula>0.001</formula>
    </cfRule>
  </conditionalFormatting>
  <conditionalFormatting sqref="BB695">
    <cfRule type="cellIs" dxfId="1461" priority="1462" stopIfTrue="1" operator="lessThan">
      <formula>0.001</formula>
    </cfRule>
  </conditionalFormatting>
  <conditionalFormatting sqref="BB698">
    <cfRule type="cellIs" dxfId="1460" priority="1461" stopIfTrue="1" operator="lessThan">
      <formula>0.001</formula>
    </cfRule>
  </conditionalFormatting>
  <conditionalFormatting sqref="BB699">
    <cfRule type="cellIs" dxfId="1459" priority="1460" stopIfTrue="1" operator="lessThan">
      <formula>0.001</formula>
    </cfRule>
  </conditionalFormatting>
  <conditionalFormatting sqref="BB700">
    <cfRule type="cellIs" dxfId="1458" priority="1459" stopIfTrue="1" operator="lessThan">
      <formula>0.001</formula>
    </cfRule>
  </conditionalFormatting>
  <conditionalFormatting sqref="BB701:BB703">
    <cfRule type="cellIs" dxfId="1457" priority="1458" stopIfTrue="1" operator="lessThan">
      <formula>0.001</formula>
    </cfRule>
  </conditionalFormatting>
  <conditionalFormatting sqref="BB704">
    <cfRule type="cellIs" dxfId="1456" priority="1457" stopIfTrue="1" operator="lessThan">
      <formula>0.001</formula>
    </cfRule>
  </conditionalFormatting>
  <conditionalFormatting sqref="BB705">
    <cfRule type="cellIs" dxfId="1455" priority="1456" stopIfTrue="1" operator="lessThan">
      <formula>0.001</formula>
    </cfRule>
  </conditionalFormatting>
  <conditionalFormatting sqref="BB707:BB709">
    <cfRule type="cellIs" dxfId="1454" priority="1455" stopIfTrue="1" operator="lessThan">
      <formula>0.001</formula>
    </cfRule>
  </conditionalFormatting>
  <conditionalFormatting sqref="BB706">
    <cfRule type="cellIs" dxfId="1453" priority="1454" stopIfTrue="1" operator="lessThan">
      <formula>0.001</formula>
    </cfRule>
  </conditionalFormatting>
  <conditionalFormatting sqref="BB710">
    <cfRule type="cellIs" dxfId="1452" priority="1453" stopIfTrue="1" operator="lessThan">
      <formula>0.001</formula>
    </cfRule>
  </conditionalFormatting>
  <conditionalFormatting sqref="BB711:BB716">
    <cfRule type="cellIs" dxfId="1451" priority="1452" stopIfTrue="1" operator="lessThan">
      <formula>0.001</formula>
    </cfRule>
  </conditionalFormatting>
  <conditionalFormatting sqref="BB717">
    <cfRule type="cellIs" dxfId="1450" priority="1451" stopIfTrue="1" operator="lessThan">
      <formula>0.001</formula>
    </cfRule>
  </conditionalFormatting>
  <conditionalFormatting sqref="BB718:BB720">
    <cfRule type="cellIs" dxfId="1449" priority="1450" stopIfTrue="1" operator="lessThan">
      <formula>0.001</formula>
    </cfRule>
  </conditionalFormatting>
  <conditionalFormatting sqref="BB721">
    <cfRule type="cellIs" dxfId="1448" priority="1449" stopIfTrue="1" operator="lessThan">
      <formula>0.001</formula>
    </cfRule>
  </conditionalFormatting>
  <conditionalFormatting sqref="BB722:BB724">
    <cfRule type="cellIs" dxfId="1447" priority="1448" stopIfTrue="1" operator="lessThan">
      <formula>0.001</formula>
    </cfRule>
  </conditionalFormatting>
  <conditionalFormatting sqref="BB725">
    <cfRule type="cellIs" dxfId="1446" priority="1447" stopIfTrue="1" operator="lessThan">
      <formula>0.001</formula>
    </cfRule>
  </conditionalFormatting>
  <conditionalFormatting sqref="BB726">
    <cfRule type="cellIs" dxfId="1445" priority="1446" stopIfTrue="1" operator="lessThan">
      <formula>0.001</formula>
    </cfRule>
  </conditionalFormatting>
  <conditionalFormatting sqref="BB727">
    <cfRule type="cellIs" dxfId="1444" priority="1445" stopIfTrue="1" operator="lessThan">
      <formula>0.001</formula>
    </cfRule>
  </conditionalFormatting>
  <conditionalFormatting sqref="BB728:BB730">
    <cfRule type="cellIs" dxfId="1443" priority="1444" stopIfTrue="1" operator="lessThan">
      <formula>0.001</formula>
    </cfRule>
  </conditionalFormatting>
  <conditionalFormatting sqref="BB731">
    <cfRule type="cellIs" dxfId="1442" priority="1443" stopIfTrue="1" operator="lessThan">
      <formula>0.001</formula>
    </cfRule>
  </conditionalFormatting>
  <conditionalFormatting sqref="BB732">
    <cfRule type="cellIs" dxfId="1441" priority="1442" stopIfTrue="1" operator="lessThan">
      <formula>0.001</formula>
    </cfRule>
  </conditionalFormatting>
  <conditionalFormatting sqref="BB733">
    <cfRule type="cellIs" dxfId="1440" priority="1441" stopIfTrue="1" operator="lessThan">
      <formula>0.001</formula>
    </cfRule>
  </conditionalFormatting>
  <conditionalFormatting sqref="BB734:BB735">
    <cfRule type="cellIs" dxfId="1439" priority="1440" stopIfTrue="1" operator="lessThan">
      <formula>0.001</formula>
    </cfRule>
  </conditionalFormatting>
  <conditionalFormatting sqref="BB736">
    <cfRule type="cellIs" dxfId="1438" priority="1439" stopIfTrue="1" operator="lessThan">
      <formula>0.001</formula>
    </cfRule>
  </conditionalFormatting>
  <conditionalFormatting sqref="BB737:BB739">
    <cfRule type="cellIs" dxfId="1437" priority="1438" stopIfTrue="1" operator="lessThan">
      <formula>0.001</formula>
    </cfRule>
  </conditionalFormatting>
  <conditionalFormatting sqref="BC681:BC691 BC694:BC695 BC698:BC739">
    <cfRule type="cellIs" dxfId="1436" priority="1437" stopIfTrue="1" operator="lessThan">
      <formula>0.001</formula>
    </cfRule>
  </conditionalFormatting>
  <conditionalFormatting sqref="BC681">
    <cfRule type="cellIs" dxfId="1435" priority="1436" stopIfTrue="1" operator="lessThan">
      <formula>0.001</formula>
    </cfRule>
  </conditionalFormatting>
  <conditionalFormatting sqref="BC682">
    <cfRule type="cellIs" dxfId="1434" priority="1435" stopIfTrue="1" operator="lessThan">
      <formula>0.001</formula>
    </cfRule>
  </conditionalFormatting>
  <conditionalFormatting sqref="BC683:BC690">
    <cfRule type="cellIs" dxfId="1433" priority="1434" stopIfTrue="1" operator="lessThan">
      <formula>0.001</formula>
    </cfRule>
  </conditionalFormatting>
  <conditionalFormatting sqref="BC691">
    <cfRule type="cellIs" dxfId="1432" priority="1433" stopIfTrue="1" operator="lessThan">
      <formula>0.001</formula>
    </cfRule>
  </conditionalFormatting>
  <conditionalFormatting sqref="BC694">
    <cfRule type="cellIs" dxfId="1431" priority="1432" stopIfTrue="1" operator="lessThan">
      <formula>0.001</formula>
    </cfRule>
  </conditionalFormatting>
  <conditionalFormatting sqref="BC695">
    <cfRule type="cellIs" dxfId="1430" priority="1431" stopIfTrue="1" operator="lessThan">
      <formula>0.001</formula>
    </cfRule>
  </conditionalFormatting>
  <conditionalFormatting sqref="BC698">
    <cfRule type="cellIs" dxfId="1429" priority="1430" stopIfTrue="1" operator="lessThan">
      <formula>0.001</formula>
    </cfRule>
  </conditionalFormatting>
  <conditionalFormatting sqref="BC699">
    <cfRule type="cellIs" dxfId="1428" priority="1429" stopIfTrue="1" operator="lessThan">
      <formula>0.001</formula>
    </cfRule>
  </conditionalFormatting>
  <conditionalFormatting sqref="BC700">
    <cfRule type="cellIs" dxfId="1427" priority="1428" stopIfTrue="1" operator="lessThan">
      <formula>0.001</formula>
    </cfRule>
  </conditionalFormatting>
  <conditionalFormatting sqref="BC701:BC703">
    <cfRule type="cellIs" dxfId="1426" priority="1427" stopIfTrue="1" operator="lessThan">
      <formula>0.001</formula>
    </cfRule>
  </conditionalFormatting>
  <conditionalFormatting sqref="BC704">
    <cfRule type="cellIs" dxfId="1425" priority="1426" stopIfTrue="1" operator="lessThan">
      <formula>0.001</formula>
    </cfRule>
  </conditionalFormatting>
  <conditionalFormatting sqref="BC705">
    <cfRule type="cellIs" dxfId="1424" priority="1425" stopIfTrue="1" operator="lessThan">
      <formula>0.001</formula>
    </cfRule>
  </conditionalFormatting>
  <conditionalFormatting sqref="BC707:BC709">
    <cfRule type="cellIs" dxfId="1423" priority="1424" stopIfTrue="1" operator="lessThan">
      <formula>0.001</formula>
    </cfRule>
  </conditionalFormatting>
  <conditionalFormatting sqref="BC706">
    <cfRule type="cellIs" dxfId="1422" priority="1423" stopIfTrue="1" operator="lessThan">
      <formula>0.001</formula>
    </cfRule>
  </conditionalFormatting>
  <conditionalFormatting sqref="BC710">
    <cfRule type="cellIs" dxfId="1421" priority="1422" stopIfTrue="1" operator="lessThan">
      <formula>0.001</formula>
    </cfRule>
  </conditionalFormatting>
  <conditionalFormatting sqref="BC711:BC716">
    <cfRule type="cellIs" dxfId="1420" priority="1421" stopIfTrue="1" operator="lessThan">
      <formula>0.001</formula>
    </cfRule>
  </conditionalFormatting>
  <conditionalFormatting sqref="BC717">
    <cfRule type="cellIs" dxfId="1419" priority="1420" stopIfTrue="1" operator="lessThan">
      <formula>0.001</formula>
    </cfRule>
  </conditionalFormatting>
  <conditionalFormatting sqref="BC718:BC720">
    <cfRule type="cellIs" dxfId="1418" priority="1419" stopIfTrue="1" operator="lessThan">
      <formula>0.001</formula>
    </cfRule>
  </conditionalFormatting>
  <conditionalFormatting sqref="BC721">
    <cfRule type="cellIs" dxfId="1417" priority="1418" stopIfTrue="1" operator="lessThan">
      <formula>0.001</formula>
    </cfRule>
  </conditionalFormatting>
  <conditionalFormatting sqref="BC722:BC724">
    <cfRule type="cellIs" dxfId="1416" priority="1417" stopIfTrue="1" operator="lessThan">
      <formula>0.001</formula>
    </cfRule>
  </conditionalFormatting>
  <conditionalFormatting sqref="BC725">
    <cfRule type="cellIs" dxfId="1415" priority="1416" stopIfTrue="1" operator="lessThan">
      <formula>0.001</formula>
    </cfRule>
  </conditionalFormatting>
  <conditionalFormatting sqref="BC726">
    <cfRule type="cellIs" dxfId="1414" priority="1415" stopIfTrue="1" operator="lessThan">
      <formula>0.001</formula>
    </cfRule>
  </conditionalFormatting>
  <conditionalFormatting sqref="BC727">
    <cfRule type="cellIs" dxfId="1413" priority="1414" stopIfTrue="1" operator="lessThan">
      <formula>0.001</formula>
    </cfRule>
  </conditionalFormatting>
  <conditionalFormatting sqref="BC728:BC730">
    <cfRule type="cellIs" dxfId="1412" priority="1413" stopIfTrue="1" operator="lessThan">
      <formula>0.001</formula>
    </cfRule>
  </conditionalFormatting>
  <conditionalFormatting sqref="BC731">
    <cfRule type="cellIs" dxfId="1411" priority="1412" stopIfTrue="1" operator="lessThan">
      <formula>0.001</formula>
    </cfRule>
  </conditionalFormatting>
  <conditionalFormatting sqref="BC732">
    <cfRule type="cellIs" dxfId="1410" priority="1411" stopIfTrue="1" operator="lessThan">
      <formula>0.001</formula>
    </cfRule>
  </conditionalFormatting>
  <conditionalFormatting sqref="BC733">
    <cfRule type="cellIs" dxfId="1409" priority="1410" stopIfTrue="1" operator="lessThan">
      <formula>0.001</formula>
    </cfRule>
  </conditionalFormatting>
  <conditionalFormatting sqref="BC734:BC735">
    <cfRule type="cellIs" dxfId="1408" priority="1409" stopIfTrue="1" operator="lessThan">
      <formula>0.001</formula>
    </cfRule>
  </conditionalFormatting>
  <conditionalFormatting sqref="BC736">
    <cfRule type="cellIs" dxfId="1407" priority="1408" stopIfTrue="1" operator="lessThan">
      <formula>0.001</formula>
    </cfRule>
  </conditionalFormatting>
  <conditionalFormatting sqref="BC737:BC739">
    <cfRule type="cellIs" dxfId="1406" priority="1407" stopIfTrue="1" operator="lessThan">
      <formula>0.001</formula>
    </cfRule>
  </conditionalFormatting>
  <conditionalFormatting sqref="AX681:AX691 AX694:AX695 AX698:AX739">
    <cfRule type="cellIs" dxfId="1405" priority="1406" stopIfTrue="1" operator="lessThan">
      <formula>0.001</formula>
    </cfRule>
  </conditionalFormatting>
  <conditionalFormatting sqref="AX681">
    <cfRule type="cellIs" dxfId="1404" priority="1405" stopIfTrue="1" operator="lessThan">
      <formula>0.001</formula>
    </cfRule>
  </conditionalFormatting>
  <conditionalFormatting sqref="AX682">
    <cfRule type="cellIs" dxfId="1403" priority="1404" stopIfTrue="1" operator="lessThan">
      <formula>0.001</formula>
    </cfRule>
  </conditionalFormatting>
  <conditionalFormatting sqref="AX683:AX690">
    <cfRule type="cellIs" dxfId="1402" priority="1403" stopIfTrue="1" operator="lessThan">
      <formula>0.001</formula>
    </cfRule>
  </conditionalFormatting>
  <conditionalFormatting sqref="AX691">
    <cfRule type="cellIs" dxfId="1401" priority="1402" stopIfTrue="1" operator="lessThan">
      <formula>0.001</formula>
    </cfRule>
  </conditionalFormatting>
  <conditionalFormatting sqref="AX694">
    <cfRule type="cellIs" dxfId="1400" priority="1401" stopIfTrue="1" operator="lessThan">
      <formula>0.001</formula>
    </cfRule>
  </conditionalFormatting>
  <conditionalFormatting sqref="AX695">
    <cfRule type="cellIs" dxfId="1399" priority="1400" stopIfTrue="1" operator="lessThan">
      <formula>0.001</formula>
    </cfRule>
  </conditionalFormatting>
  <conditionalFormatting sqref="AX698">
    <cfRule type="cellIs" dxfId="1398" priority="1399" stopIfTrue="1" operator="lessThan">
      <formula>0.001</formula>
    </cfRule>
  </conditionalFormatting>
  <conditionalFormatting sqref="AX699">
    <cfRule type="cellIs" dxfId="1397" priority="1398" stopIfTrue="1" operator="lessThan">
      <formula>0.001</formula>
    </cfRule>
  </conditionalFormatting>
  <conditionalFormatting sqref="AX700">
    <cfRule type="cellIs" dxfId="1396" priority="1397" stopIfTrue="1" operator="lessThan">
      <formula>0.001</formula>
    </cfRule>
  </conditionalFormatting>
  <conditionalFormatting sqref="AX701:AX703">
    <cfRule type="cellIs" dxfId="1395" priority="1396" stopIfTrue="1" operator="lessThan">
      <formula>0.001</formula>
    </cfRule>
  </conditionalFormatting>
  <conditionalFormatting sqref="AX704">
    <cfRule type="cellIs" dxfId="1394" priority="1395" stopIfTrue="1" operator="lessThan">
      <formula>0.001</formula>
    </cfRule>
  </conditionalFormatting>
  <conditionalFormatting sqref="AX705">
    <cfRule type="cellIs" dxfId="1393" priority="1394" stopIfTrue="1" operator="lessThan">
      <formula>0.001</formula>
    </cfRule>
  </conditionalFormatting>
  <conditionalFormatting sqref="AX707:AX709">
    <cfRule type="cellIs" dxfId="1392" priority="1393" stopIfTrue="1" operator="lessThan">
      <formula>0.001</formula>
    </cfRule>
  </conditionalFormatting>
  <conditionalFormatting sqref="AX706">
    <cfRule type="cellIs" dxfId="1391" priority="1392" stopIfTrue="1" operator="lessThan">
      <formula>0.001</formula>
    </cfRule>
  </conditionalFormatting>
  <conditionalFormatting sqref="AX710">
    <cfRule type="cellIs" dxfId="1390" priority="1391" stopIfTrue="1" operator="lessThan">
      <formula>0.001</formula>
    </cfRule>
  </conditionalFormatting>
  <conditionalFormatting sqref="AX711:AX716">
    <cfRule type="cellIs" dxfId="1389" priority="1390" stopIfTrue="1" operator="lessThan">
      <formula>0.001</formula>
    </cfRule>
  </conditionalFormatting>
  <conditionalFormatting sqref="AX717">
    <cfRule type="cellIs" dxfId="1388" priority="1389" stopIfTrue="1" operator="lessThan">
      <formula>0.001</formula>
    </cfRule>
  </conditionalFormatting>
  <conditionalFormatting sqref="AX718:AX720">
    <cfRule type="cellIs" dxfId="1387" priority="1388" stopIfTrue="1" operator="lessThan">
      <formula>0.001</formula>
    </cfRule>
  </conditionalFormatting>
  <conditionalFormatting sqref="AX721">
    <cfRule type="cellIs" dxfId="1386" priority="1387" stopIfTrue="1" operator="lessThan">
      <formula>0.001</formula>
    </cfRule>
  </conditionalFormatting>
  <conditionalFormatting sqref="AX722:AX724">
    <cfRule type="cellIs" dxfId="1385" priority="1386" stopIfTrue="1" operator="lessThan">
      <formula>0.001</formula>
    </cfRule>
  </conditionalFormatting>
  <conditionalFormatting sqref="AX725">
    <cfRule type="cellIs" dxfId="1384" priority="1385" stopIfTrue="1" operator="lessThan">
      <formula>0.001</formula>
    </cfRule>
  </conditionalFormatting>
  <conditionalFormatting sqref="AX726">
    <cfRule type="cellIs" dxfId="1383" priority="1384" stopIfTrue="1" operator="lessThan">
      <formula>0.001</formula>
    </cfRule>
  </conditionalFormatting>
  <conditionalFormatting sqref="AX727">
    <cfRule type="cellIs" dxfId="1382" priority="1383" stopIfTrue="1" operator="lessThan">
      <formula>0.001</formula>
    </cfRule>
  </conditionalFormatting>
  <conditionalFormatting sqref="AX728:AX730">
    <cfRule type="cellIs" dxfId="1381" priority="1382" stopIfTrue="1" operator="lessThan">
      <formula>0.001</formula>
    </cfRule>
  </conditionalFormatting>
  <conditionalFormatting sqref="AX731">
    <cfRule type="cellIs" dxfId="1380" priority="1381" stopIfTrue="1" operator="lessThan">
      <formula>0.001</formula>
    </cfRule>
  </conditionalFormatting>
  <conditionalFormatting sqref="AX732">
    <cfRule type="cellIs" dxfId="1379" priority="1380" stopIfTrue="1" operator="lessThan">
      <formula>0.001</formula>
    </cfRule>
  </conditionalFormatting>
  <conditionalFormatting sqref="AX733">
    <cfRule type="cellIs" dxfId="1378" priority="1379" stopIfTrue="1" operator="lessThan">
      <formula>0.001</formula>
    </cfRule>
  </conditionalFormatting>
  <conditionalFormatting sqref="AX734:AX735">
    <cfRule type="cellIs" dxfId="1377" priority="1378" stopIfTrue="1" operator="lessThan">
      <formula>0.001</formula>
    </cfRule>
  </conditionalFormatting>
  <conditionalFormatting sqref="AX736">
    <cfRule type="cellIs" dxfId="1376" priority="1377" stopIfTrue="1" operator="lessThan">
      <formula>0.001</formula>
    </cfRule>
  </conditionalFormatting>
  <conditionalFormatting sqref="AX737:AX739">
    <cfRule type="cellIs" dxfId="1375" priority="1376" stopIfTrue="1" operator="lessThan">
      <formula>0.001</formula>
    </cfRule>
  </conditionalFormatting>
  <conditionalFormatting sqref="AY681:AY691 AY694:AY695 AY698:AY739">
    <cfRule type="cellIs" dxfId="1374" priority="1375" stopIfTrue="1" operator="lessThan">
      <formula>0.001</formula>
    </cfRule>
  </conditionalFormatting>
  <conditionalFormatting sqref="AY681">
    <cfRule type="cellIs" dxfId="1373" priority="1374" stopIfTrue="1" operator="lessThan">
      <formula>0.001</formula>
    </cfRule>
  </conditionalFormatting>
  <conditionalFormatting sqref="AY682">
    <cfRule type="cellIs" dxfId="1372" priority="1373" stopIfTrue="1" operator="lessThan">
      <formula>0.001</formula>
    </cfRule>
  </conditionalFormatting>
  <conditionalFormatting sqref="AY683:AY690">
    <cfRule type="cellIs" dxfId="1371" priority="1372" stopIfTrue="1" operator="lessThan">
      <formula>0.001</formula>
    </cfRule>
  </conditionalFormatting>
  <conditionalFormatting sqref="AY691">
    <cfRule type="cellIs" dxfId="1370" priority="1371" stopIfTrue="1" operator="lessThan">
      <formula>0.001</formula>
    </cfRule>
  </conditionalFormatting>
  <conditionalFormatting sqref="AY694">
    <cfRule type="cellIs" dxfId="1369" priority="1370" stopIfTrue="1" operator="lessThan">
      <formula>0.001</formula>
    </cfRule>
  </conditionalFormatting>
  <conditionalFormatting sqref="AY695">
    <cfRule type="cellIs" dxfId="1368" priority="1369" stopIfTrue="1" operator="lessThan">
      <formula>0.001</formula>
    </cfRule>
  </conditionalFormatting>
  <conditionalFormatting sqref="AY698">
    <cfRule type="cellIs" dxfId="1367" priority="1368" stopIfTrue="1" operator="lessThan">
      <formula>0.001</formula>
    </cfRule>
  </conditionalFormatting>
  <conditionalFormatting sqref="AY699">
    <cfRule type="cellIs" dxfId="1366" priority="1367" stopIfTrue="1" operator="lessThan">
      <formula>0.001</formula>
    </cfRule>
  </conditionalFormatting>
  <conditionalFormatting sqref="AY700">
    <cfRule type="cellIs" dxfId="1365" priority="1366" stopIfTrue="1" operator="lessThan">
      <formula>0.001</formula>
    </cfRule>
  </conditionalFormatting>
  <conditionalFormatting sqref="AY701:AY703">
    <cfRule type="cellIs" dxfId="1364" priority="1365" stopIfTrue="1" operator="lessThan">
      <formula>0.001</formula>
    </cfRule>
  </conditionalFormatting>
  <conditionalFormatting sqref="AY704">
    <cfRule type="cellIs" dxfId="1363" priority="1364" stopIfTrue="1" operator="lessThan">
      <formula>0.001</formula>
    </cfRule>
  </conditionalFormatting>
  <conditionalFormatting sqref="AY705">
    <cfRule type="cellIs" dxfId="1362" priority="1363" stopIfTrue="1" operator="lessThan">
      <formula>0.001</formula>
    </cfRule>
  </conditionalFormatting>
  <conditionalFormatting sqref="AY707:AY709">
    <cfRule type="cellIs" dxfId="1361" priority="1362" stopIfTrue="1" operator="lessThan">
      <formula>0.001</formula>
    </cfRule>
  </conditionalFormatting>
  <conditionalFormatting sqref="AY706">
    <cfRule type="cellIs" dxfId="1360" priority="1361" stopIfTrue="1" operator="lessThan">
      <formula>0.001</formula>
    </cfRule>
  </conditionalFormatting>
  <conditionalFormatting sqref="AY710">
    <cfRule type="cellIs" dxfId="1359" priority="1360" stopIfTrue="1" operator="lessThan">
      <formula>0.001</formula>
    </cfRule>
  </conditionalFormatting>
  <conditionalFormatting sqref="AY711:AY716">
    <cfRule type="cellIs" dxfId="1358" priority="1359" stopIfTrue="1" operator="lessThan">
      <formula>0.001</formula>
    </cfRule>
  </conditionalFormatting>
  <conditionalFormatting sqref="AY717">
    <cfRule type="cellIs" dxfId="1357" priority="1358" stopIfTrue="1" operator="lessThan">
      <formula>0.001</formula>
    </cfRule>
  </conditionalFormatting>
  <conditionalFormatting sqref="AY718:AY720">
    <cfRule type="cellIs" dxfId="1356" priority="1357" stopIfTrue="1" operator="lessThan">
      <formula>0.001</formula>
    </cfRule>
  </conditionalFormatting>
  <conditionalFormatting sqref="AY721">
    <cfRule type="cellIs" dxfId="1355" priority="1356" stopIfTrue="1" operator="lessThan">
      <formula>0.001</formula>
    </cfRule>
  </conditionalFormatting>
  <conditionalFormatting sqref="AY722:AY724">
    <cfRule type="cellIs" dxfId="1354" priority="1355" stopIfTrue="1" operator="lessThan">
      <formula>0.001</formula>
    </cfRule>
  </conditionalFormatting>
  <conditionalFormatting sqref="AY725">
    <cfRule type="cellIs" dxfId="1353" priority="1354" stopIfTrue="1" operator="lessThan">
      <formula>0.001</formula>
    </cfRule>
  </conditionalFormatting>
  <conditionalFormatting sqref="AY726">
    <cfRule type="cellIs" dxfId="1352" priority="1353" stopIfTrue="1" operator="lessThan">
      <formula>0.001</formula>
    </cfRule>
  </conditionalFormatting>
  <conditionalFormatting sqref="AY727">
    <cfRule type="cellIs" dxfId="1351" priority="1352" stopIfTrue="1" operator="lessThan">
      <formula>0.001</formula>
    </cfRule>
  </conditionalFormatting>
  <conditionalFormatting sqref="AY728:AY730">
    <cfRule type="cellIs" dxfId="1350" priority="1351" stopIfTrue="1" operator="lessThan">
      <formula>0.001</formula>
    </cfRule>
  </conditionalFormatting>
  <conditionalFormatting sqref="AY731">
    <cfRule type="cellIs" dxfId="1349" priority="1350" stopIfTrue="1" operator="lessThan">
      <formula>0.001</formula>
    </cfRule>
  </conditionalFormatting>
  <conditionalFormatting sqref="AY732">
    <cfRule type="cellIs" dxfId="1348" priority="1349" stopIfTrue="1" operator="lessThan">
      <formula>0.001</formula>
    </cfRule>
  </conditionalFormatting>
  <conditionalFormatting sqref="AY733">
    <cfRule type="cellIs" dxfId="1347" priority="1348" stopIfTrue="1" operator="lessThan">
      <formula>0.001</formula>
    </cfRule>
  </conditionalFormatting>
  <conditionalFormatting sqref="AY734:AY735">
    <cfRule type="cellIs" dxfId="1346" priority="1347" stopIfTrue="1" operator="lessThan">
      <formula>0.001</formula>
    </cfRule>
  </conditionalFormatting>
  <conditionalFormatting sqref="AY736">
    <cfRule type="cellIs" dxfId="1345" priority="1346" stopIfTrue="1" operator="lessThan">
      <formula>0.001</formula>
    </cfRule>
  </conditionalFormatting>
  <conditionalFormatting sqref="AY737:AY739">
    <cfRule type="cellIs" dxfId="1344" priority="1345" stopIfTrue="1" operator="lessThan">
      <formula>0.001</formula>
    </cfRule>
  </conditionalFormatting>
  <conditionalFormatting sqref="AZ681:AZ691 AZ694:AZ695 AZ698:AZ739">
    <cfRule type="cellIs" dxfId="1343" priority="1344" stopIfTrue="1" operator="lessThan">
      <formula>0.001</formula>
    </cfRule>
  </conditionalFormatting>
  <conditionalFormatting sqref="AZ681">
    <cfRule type="cellIs" dxfId="1342" priority="1343" stopIfTrue="1" operator="lessThan">
      <formula>0.001</formula>
    </cfRule>
  </conditionalFormatting>
  <conditionalFormatting sqref="AZ682">
    <cfRule type="cellIs" dxfId="1341" priority="1342" stopIfTrue="1" operator="lessThan">
      <formula>0.001</formula>
    </cfRule>
  </conditionalFormatting>
  <conditionalFormatting sqref="AZ683:AZ690">
    <cfRule type="cellIs" dxfId="1340" priority="1341" stopIfTrue="1" operator="lessThan">
      <formula>0.001</formula>
    </cfRule>
  </conditionalFormatting>
  <conditionalFormatting sqref="AZ691">
    <cfRule type="cellIs" dxfId="1339" priority="1340" stopIfTrue="1" operator="lessThan">
      <formula>0.001</formula>
    </cfRule>
  </conditionalFormatting>
  <conditionalFormatting sqref="AZ694">
    <cfRule type="cellIs" dxfId="1338" priority="1339" stopIfTrue="1" operator="lessThan">
      <formula>0.001</formula>
    </cfRule>
  </conditionalFormatting>
  <conditionalFormatting sqref="AZ695">
    <cfRule type="cellIs" dxfId="1337" priority="1338" stopIfTrue="1" operator="lessThan">
      <formula>0.001</formula>
    </cfRule>
  </conditionalFormatting>
  <conditionalFormatting sqref="AZ698">
    <cfRule type="cellIs" dxfId="1336" priority="1337" stopIfTrue="1" operator="lessThan">
      <formula>0.001</formula>
    </cfRule>
  </conditionalFormatting>
  <conditionalFormatting sqref="AZ699">
    <cfRule type="cellIs" dxfId="1335" priority="1336" stopIfTrue="1" operator="lessThan">
      <formula>0.001</formula>
    </cfRule>
  </conditionalFormatting>
  <conditionalFormatting sqref="AZ700">
    <cfRule type="cellIs" dxfId="1334" priority="1335" stopIfTrue="1" operator="lessThan">
      <formula>0.001</formula>
    </cfRule>
  </conditionalFormatting>
  <conditionalFormatting sqref="AZ701:AZ703">
    <cfRule type="cellIs" dxfId="1333" priority="1334" stopIfTrue="1" operator="lessThan">
      <formula>0.001</formula>
    </cfRule>
  </conditionalFormatting>
  <conditionalFormatting sqref="AZ704">
    <cfRule type="cellIs" dxfId="1332" priority="1333" stopIfTrue="1" operator="lessThan">
      <formula>0.001</formula>
    </cfRule>
  </conditionalFormatting>
  <conditionalFormatting sqref="AZ705">
    <cfRule type="cellIs" dxfId="1331" priority="1332" stopIfTrue="1" operator="lessThan">
      <formula>0.001</formula>
    </cfRule>
  </conditionalFormatting>
  <conditionalFormatting sqref="AZ707:AZ709">
    <cfRule type="cellIs" dxfId="1330" priority="1331" stopIfTrue="1" operator="lessThan">
      <formula>0.001</formula>
    </cfRule>
  </conditionalFormatting>
  <conditionalFormatting sqref="AZ706">
    <cfRule type="cellIs" dxfId="1329" priority="1330" stopIfTrue="1" operator="lessThan">
      <formula>0.001</formula>
    </cfRule>
  </conditionalFormatting>
  <conditionalFormatting sqref="AZ710">
    <cfRule type="cellIs" dxfId="1328" priority="1329" stopIfTrue="1" operator="lessThan">
      <formula>0.001</formula>
    </cfRule>
  </conditionalFormatting>
  <conditionalFormatting sqref="AZ711:AZ716">
    <cfRule type="cellIs" dxfId="1327" priority="1328" stopIfTrue="1" operator="lessThan">
      <formula>0.001</formula>
    </cfRule>
  </conditionalFormatting>
  <conditionalFormatting sqref="AZ717">
    <cfRule type="cellIs" dxfId="1326" priority="1327" stopIfTrue="1" operator="lessThan">
      <formula>0.001</formula>
    </cfRule>
  </conditionalFormatting>
  <conditionalFormatting sqref="AZ718:AZ720">
    <cfRule type="cellIs" dxfId="1325" priority="1326" stopIfTrue="1" operator="lessThan">
      <formula>0.001</formula>
    </cfRule>
  </conditionalFormatting>
  <conditionalFormatting sqref="AZ721">
    <cfRule type="cellIs" dxfId="1324" priority="1325" stopIfTrue="1" operator="lessThan">
      <formula>0.001</formula>
    </cfRule>
  </conditionalFormatting>
  <conditionalFormatting sqref="AZ722:AZ724">
    <cfRule type="cellIs" dxfId="1323" priority="1324" stopIfTrue="1" operator="lessThan">
      <formula>0.001</formula>
    </cfRule>
  </conditionalFormatting>
  <conditionalFormatting sqref="AZ725">
    <cfRule type="cellIs" dxfId="1322" priority="1323" stopIfTrue="1" operator="lessThan">
      <formula>0.001</formula>
    </cfRule>
  </conditionalFormatting>
  <conditionalFormatting sqref="AZ726">
    <cfRule type="cellIs" dxfId="1321" priority="1322" stopIfTrue="1" operator="lessThan">
      <formula>0.001</formula>
    </cfRule>
  </conditionalFormatting>
  <conditionalFormatting sqref="AZ727">
    <cfRule type="cellIs" dxfId="1320" priority="1321" stopIfTrue="1" operator="lessThan">
      <formula>0.001</formula>
    </cfRule>
  </conditionalFormatting>
  <conditionalFormatting sqref="AZ728:AZ730">
    <cfRule type="cellIs" dxfId="1319" priority="1320" stopIfTrue="1" operator="lessThan">
      <formula>0.001</formula>
    </cfRule>
  </conditionalFormatting>
  <conditionalFormatting sqref="AZ731">
    <cfRule type="cellIs" dxfId="1318" priority="1319" stopIfTrue="1" operator="lessThan">
      <formula>0.001</formula>
    </cfRule>
  </conditionalFormatting>
  <conditionalFormatting sqref="AZ732">
    <cfRule type="cellIs" dxfId="1317" priority="1318" stopIfTrue="1" operator="lessThan">
      <formula>0.001</formula>
    </cfRule>
  </conditionalFormatting>
  <conditionalFormatting sqref="AZ733">
    <cfRule type="cellIs" dxfId="1316" priority="1317" stopIfTrue="1" operator="lessThan">
      <formula>0.001</formula>
    </cfRule>
  </conditionalFormatting>
  <conditionalFormatting sqref="AZ734:AZ735">
    <cfRule type="cellIs" dxfId="1315" priority="1316" stopIfTrue="1" operator="lessThan">
      <formula>0.001</formula>
    </cfRule>
  </conditionalFormatting>
  <conditionalFormatting sqref="AZ736">
    <cfRule type="cellIs" dxfId="1314" priority="1315" stopIfTrue="1" operator="lessThan">
      <formula>0.001</formula>
    </cfRule>
  </conditionalFormatting>
  <conditionalFormatting sqref="AZ737:AZ739">
    <cfRule type="cellIs" dxfId="1313" priority="1314" stopIfTrue="1" operator="lessThan">
      <formula>0.001</formula>
    </cfRule>
  </conditionalFormatting>
  <conditionalFormatting sqref="AU681:AU691 AU694:AU695 AU698:AU739">
    <cfRule type="cellIs" dxfId="1312" priority="1313" stopIfTrue="1" operator="lessThan">
      <formula>0.001</formula>
    </cfRule>
  </conditionalFormatting>
  <conditionalFormatting sqref="AU681">
    <cfRule type="cellIs" dxfId="1311" priority="1312" stopIfTrue="1" operator="lessThan">
      <formula>0.001</formula>
    </cfRule>
  </conditionalFormatting>
  <conditionalFormatting sqref="AU682">
    <cfRule type="cellIs" dxfId="1310" priority="1311" stopIfTrue="1" operator="lessThan">
      <formula>0.001</formula>
    </cfRule>
  </conditionalFormatting>
  <conditionalFormatting sqref="AU683:AU690">
    <cfRule type="cellIs" dxfId="1309" priority="1310" stopIfTrue="1" operator="lessThan">
      <formula>0.001</formula>
    </cfRule>
  </conditionalFormatting>
  <conditionalFormatting sqref="AU691">
    <cfRule type="cellIs" dxfId="1308" priority="1309" stopIfTrue="1" operator="lessThan">
      <formula>0.001</formula>
    </cfRule>
  </conditionalFormatting>
  <conditionalFormatting sqref="AU694">
    <cfRule type="cellIs" dxfId="1307" priority="1308" stopIfTrue="1" operator="lessThan">
      <formula>0.001</formula>
    </cfRule>
  </conditionalFormatting>
  <conditionalFormatting sqref="AU695">
    <cfRule type="cellIs" dxfId="1306" priority="1307" stopIfTrue="1" operator="lessThan">
      <formula>0.001</formula>
    </cfRule>
  </conditionalFormatting>
  <conditionalFormatting sqref="AU698">
    <cfRule type="cellIs" dxfId="1305" priority="1306" stopIfTrue="1" operator="lessThan">
      <formula>0.001</formula>
    </cfRule>
  </conditionalFormatting>
  <conditionalFormatting sqref="AU699">
    <cfRule type="cellIs" dxfId="1304" priority="1305" stopIfTrue="1" operator="lessThan">
      <formula>0.001</formula>
    </cfRule>
  </conditionalFormatting>
  <conditionalFormatting sqref="AU700">
    <cfRule type="cellIs" dxfId="1303" priority="1304" stopIfTrue="1" operator="lessThan">
      <formula>0.001</formula>
    </cfRule>
  </conditionalFormatting>
  <conditionalFormatting sqref="AU701:AU703">
    <cfRule type="cellIs" dxfId="1302" priority="1303" stopIfTrue="1" operator="lessThan">
      <formula>0.001</formula>
    </cfRule>
  </conditionalFormatting>
  <conditionalFormatting sqref="AU704">
    <cfRule type="cellIs" dxfId="1301" priority="1302" stopIfTrue="1" operator="lessThan">
      <formula>0.001</formula>
    </cfRule>
  </conditionalFormatting>
  <conditionalFormatting sqref="AU705">
    <cfRule type="cellIs" dxfId="1300" priority="1301" stopIfTrue="1" operator="lessThan">
      <formula>0.001</formula>
    </cfRule>
  </conditionalFormatting>
  <conditionalFormatting sqref="AU707:AU709">
    <cfRule type="cellIs" dxfId="1299" priority="1300" stopIfTrue="1" operator="lessThan">
      <formula>0.001</formula>
    </cfRule>
  </conditionalFormatting>
  <conditionalFormatting sqref="AU706">
    <cfRule type="cellIs" dxfId="1298" priority="1299" stopIfTrue="1" operator="lessThan">
      <formula>0.001</formula>
    </cfRule>
  </conditionalFormatting>
  <conditionalFormatting sqref="AU710">
    <cfRule type="cellIs" dxfId="1297" priority="1298" stopIfTrue="1" operator="lessThan">
      <formula>0.001</formula>
    </cfRule>
  </conditionalFormatting>
  <conditionalFormatting sqref="AU711:AU716">
    <cfRule type="cellIs" dxfId="1296" priority="1297" stopIfTrue="1" operator="lessThan">
      <formula>0.001</formula>
    </cfRule>
  </conditionalFormatting>
  <conditionalFormatting sqref="AU717">
    <cfRule type="cellIs" dxfId="1295" priority="1296" stopIfTrue="1" operator="lessThan">
      <formula>0.001</formula>
    </cfRule>
  </conditionalFormatting>
  <conditionalFormatting sqref="AU718:AU720">
    <cfRule type="cellIs" dxfId="1294" priority="1295" stopIfTrue="1" operator="lessThan">
      <formula>0.001</formula>
    </cfRule>
  </conditionalFormatting>
  <conditionalFormatting sqref="AU721">
    <cfRule type="cellIs" dxfId="1293" priority="1294" stopIfTrue="1" operator="lessThan">
      <formula>0.001</formula>
    </cfRule>
  </conditionalFormatting>
  <conditionalFormatting sqref="AU722:AU724">
    <cfRule type="cellIs" dxfId="1292" priority="1293" stopIfTrue="1" operator="lessThan">
      <formula>0.001</formula>
    </cfRule>
  </conditionalFormatting>
  <conditionalFormatting sqref="AU725">
    <cfRule type="cellIs" dxfId="1291" priority="1292" stopIfTrue="1" operator="lessThan">
      <formula>0.001</formula>
    </cfRule>
  </conditionalFormatting>
  <conditionalFormatting sqref="AU726">
    <cfRule type="cellIs" dxfId="1290" priority="1291" stopIfTrue="1" operator="lessThan">
      <formula>0.001</formula>
    </cfRule>
  </conditionalFormatting>
  <conditionalFormatting sqref="AU727">
    <cfRule type="cellIs" dxfId="1289" priority="1290" stopIfTrue="1" operator="lessThan">
      <formula>0.001</formula>
    </cfRule>
  </conditionalFormatting>
  <conditionalFormatting sqref="AU728:AU730">
    <cfRule type="cellIs" dxfId="1288" priority="1289" stopIfTrue="1" operator="lessThan">
      <formula>0.001</formula>
    </cfRule>
  </conditionalFormatting>
  <conditionalFormatting sqref="AU731">
    <cfRule type="cellIs" dxfId="1287" priority="1288" stopIfTrue="1" operator="lessThan">
      <formula>0.001</formula>
    </cfRule>
  </conditionalFormatting>
  <conditionalFormatting sqref="AU732">
    <cfRule type="cellIs" dxfId="1286" priority="1287" stopIfTrue="1" operator="lessThan">
      <formula>0.001</formula>
    </cfRule>
  </conditionalFormatting>
  <conditionalFormatting sqref="AU733">
    <cfRule type="cellIs" dxfId="1285" priority="1286" stopIfTrue="1" operator="lessThan">
      <formula>0.001</formula>
    </cfRule>
  </conditionalFormatting>
  <conditionalFormatting sqref="AU734:AU735">
    <cfRule type="cellIs" dxfId="1284" priority="1285" stopIfTrue="1" operator="lessThan">
      <formula>0.001</formula>
    </cfRule>
  </conditionalFormatting>
  <conditionalFormatting sqref="AU736">
    <cfRule type="cellIs" dxfId="1283" priority="1284" stopIfTrue="1" operator="lessThan">
      <formula>0.001</formula>
    </cfRule>
  </conditionalFormatting>
  <conditionalFormatting sqref="AU737:AU739">
    <cfRule type="cellIs" dxfId="1282" priority="1283" stopIfTrue="1" operator="lessThan">
      <formula>0.001</formula>
    </cfRule>
  </conditionalFormatting>
  <conditionalFormatting sqref="AV681:AV691 AV694:AV695 AV698:AV739">
    <cfRule type="cellIs" dxfId="1281" priority="1282" stopIfTrue="1" operator="lessThan">
      <formula>0.001</formula>
    </cfRule>
  </conditionalFormatting>
  <conditionalFormatting sqref="AV681">
    <cfRule type="cellIs" dxfId="1280" priority="1281" stopIfTrue="1" operator="lessThan">
      <formula>0.001</formula>
    </cfRule>
  </conditionalFormatting>
  <conditionalFormatting sqref="AV682">
    <cfRule type="cellIs" dxfId="1279" priority="1280" stopIfTrue="1" operator="lessThan">
      <formula>0.001</formula>
    </cfRule>
  </conditionalFormatting>
  <conditionalFormatting sqref="AV683:AV690">
    <cfRule type="cellIs" dxfId="1278" priority="1279" stopIfTrue="1" operator="lessThan">
      <formula>0.001</formula>
    </cfRule>
  </conditionalFormatting>
  <conditionalFormatting sqref="AV691">
    <cfRule type="cellIs" dxfId="1277" priority="1278" stopIfTrue="1" operator="lessThan">
      <formula>0.001</formula>
    </cfRule>
  </conditionalFormatting>
  <conditionalFormatting sqref="AV694">
    <cfRule type="cellIs" dxfId="1276" priority="1277" stopIfTrue="1" operator="lessThan">
      <formula>0.001</formula>
    </cfRule>
  </conditionalFormatting>
  <conditionalFormatting sqref="AV695">
    <cfRule type="cellIs" dxfId="1275" priority="1276" stopIfTrue="1" operator="lessThan">
      <formula>0.001</formula>
    </cfRule>
  </conditionalFormatting>
  <conditionalFormatting sqref="AV698">
    <cfRule type="cellIs" dxfId="1274" priority="1275" stopIfTrue="1" operator="lessThan">
      <formula>0.001</formula>
    </cfRule>
  </conditionalFormatting>
  <conditionalFormatting sqref="AV699">
    <cfRule type="cellIs" dxfId="1273" priority="1274" stopIfTrue="1" operator="lessThan">
      <formula>0.001</formula>
    </cfRule>
  </conditionalFormatting>
  <conditionalFormatting sqref="AV700">
    <cfRule type="cellIs" dxfId="1272" priority="1273" stopIfTrue="1" operator="lessThan">
      <formula>0.001</formula>
    </cfRule>
  </conditionalFormatting>
  <conditionalFormatting sqref="AV701:AV703">
    <cfRule type="cellIs" dxfId="1271" priority="1272" stopIfTrue="1" operator="lessThan">
      <formula>0.001</formula>
    </cfRule>
  </conditionalFormatting>
  <conditionalFormatting sqref="AV704">
    <cfRule type="cellIs" dxfId="1270" priority="1271" stopIfTrue="1" operator="lessThan">
      <formula>0.001</formula>
    </cfRule>
  </conditionalFormatting>
  <conditionalFormatting sqref="AV705">
    <cfRule type="cellIs" dxfId="1269" priority="1270" stopIfTrue="1" operator="lessThan">
      <formula>0.001</formula>
    </cfRule>
  </conditionalFormatting>
  <conditionalFormatting sqref="AV707:AV709">
    <cfRule type="cellIs" dxfId="1268" priority="1269" stopIfTrue="1" operator="lessThan">
      <formula>0.001</formula>
    </cfRule>
  </conditionalFormatting>
  <conditionalFormatting sqref="AV706">
    <cfRule type="cellIs" dxfId="1267" priority="1268" stopIfTrue="1" operator="lessThan">
      <formula>0.001</formula>
    </cfRule>
  </conditionalFormatting>
  <conditionalFormatting sqref="AV710">
    <cfRule type="cellIs" dxfId="1266" priority="1267" stopIfTrue="1" operator="lessThan">
      <formula>0.001</formula>
    </cfRule>
  </conditionalFormatting>
  <conditionalFormatting sqref="AV711:AV716">
    <cfRule type="cellIs" dxfId="1265" priority="1266" stopIfTrue="1" operator="lessThan">
      <formula>0.001</formula>
    </cfRule>
  </conditionalFormatting>
  <conditionalFormatting sqref="AV717">
    <cfRule type="cellIs" dxfId="1264" priority="1265" stopIfTrue="1" operator="lessThan">
      <formula>0.001</formula>
    </cfRule>
  </conditionalFormatting>
  <conditionalFormatting sqref="AV718:AV720">
    <cfRule type="cellIs" dxfId="1263" priority="1264" stopIfTrue="1" operator="lessThan">
      <formula>0.001</formula>
    </cfRule>
  </conditionalFormatting>
  <conditionalFormatting sqref="AV721">
    <cfRule type="cellIs" dxfId="1262" priority="1263" stopIfTrue="1" operator="lessThan">
      <formula>0.001</formula>
    </cfRule>
  </conditionalFormatting>
  <conditionalFormatting sqref="AV722:AV724">
    <cfRule type="cellIs" dxfId="1261" priority="1262" stopIfTrue="1" operator="lessThan">
      <formula>0.001</formula>
    </cfRule>
  </conditionalFormatting>
  <conditionalFormatting sqref="AV725">
    <cfRule type="cellIs" dxfId="1260" priority="1261" stopIfTrue="1" operator="lessThan">
      <formula>0.001</formula>
    </cfRule>
  </conditionalFormatting>
  <conditionalFormatting sqref="AV726">
    <cfRule type="cellIs" dxfId="1259" priority="1260" stopIfTrue="1" operator="lessThan">
      <formula>0.001</formula>
    </cfRule>
  </conditionalFormatting>
  <conditionalFormatting sqref="AV727">
    <cfRule type="cellIs" dxfId="1258" priority="1259" stopIfTrue="1" operator="lessThan">
      <formula>0.001</formula>
    </cfRule>
  </conditionalFormatting>
  <conditionalFormatting sqref="AV728:AV730">
    <cfRule type="cellIs" dxfId="1257" priority="1258" stopIfTrue="1" operator="lessThan">
      <formula>0.001</formula>
    </cfRule>
  </conditionalFormatting>
  <conditionalFormatting sqref="AV731">
    <cfRule type="cellIs" dxfId="1256" priority="1257" stopIfTrue="1" operator="lessThan">
      <formula>0.001</formula>
    </cfRule>
  </conditionalFormatting>
  <conditionalFormatting sqref="AV732">
    <cfRule type="cellIs" dxfId="1255" priority="1256" stopIfTrue="1" operator="lessThan">
      <formula>0.001</formula>
    </cfRule>
  </conditionalFormatting>
  <conditionalFormatting sqref="AV733">
    <cfRule type="cellIs" dxfId="1254" priority="1255" stopIfTrue="1" operator="lessThan">
      <formula>0.001</formula>
    </cfRule>
  </conditionalFormatting>
  <conditionalFormatting sqref="AV734:AV735">
    <cfRule type="cellIs" dxfId="1253" priority="1254" stopIfTrue="1" operator="lessThan">
      <formula>0.001</formula>
    </cfRule>
  </conditionalFormatting>
  <conditionalFormatting sqref="AV736">
    <cfRule type="cellIs" dxfId="1252" priority="1253" stopIfTrue="1" operator="lessThan">
      <formula>0.001</formula>
    </cfRule>
  </conditionalFormatting>
  <conditionalFormatting sqref="AV737:AV739">
    <cfRule type="cellIs" dxfId="1251" priority="1252" stopIfTrue="1" operator="lessThan">
      <formula>0.001</formula>
    </cfRule>
  </conditionalFormatting>
  <conditionalFormatting sqref="AW681:AW691 AW694:AW695 AW698:AW739">
    <cfRule type="cellIs" dxfId="1250" priority="1251" stopIfTrue="1" operator="lessThan">
      <formula>0.001</formula>
    </cfRule>
  </conditionalFormatting>
  <conditionalFormatting sqref="AW681">
    <cfRule type="cellIs" dxfId="1249" priority="1250" stopIfTrue="1" operator="lessThan">
      <formula>0.001</formula>
    </cfRule>
  </conditionalFormatting>
  <conditionalFormatting sqref="AW682">
    <cfRule type="cellIs" dxfId="1248" priority="1249" stopIfTrue="1" operator="lessThan">
      <formula>0.001</formula>
    </cfRule>
  </conditionalFormatting>
  <conditionalFormatting sqref="AW683:AW690">
    <cfRule type="cellIs" dxfId="1247" priority="1248" stopIfTrue="1" operator="lessThan">
      <formula>0.001</formula>
    </cfRule>
  </conditionalFormatting>
  <conditionalFormatting sqref="AW691">
    <cfRule type="cellIs" dxfId="1246" priority="1247" stopIfTrue="1" operator="lessThan">
      <formula>0.001</formula>
    </cfRule>
  </conditionalFormatting>
  <conditionalFormatting sqref="AW694">
    <cfRule type="cellIs" dxfId="1245" priority="1246" stopIfTrue="1" operator="lessThan">
      <formula>0.001</formula>
    </cfRule>
  </conditionalFormatting>
  <conditionalFormatting sqref="AW695">
    <cfRule type="cellIs" dxfId="1244" priority="1245" stopIfTrue="1" operator="lessThan">
      <formula>0.001</formula>
    </cfRule>
  </conditionalFormatting>
  <conditionalFormatting sqref="AW698">
    <cfRule type="cellIs" dxfId="1243" priority="1244" stopIfTrue="1" operator="lessThan">
      <formula>0.001</formula>
    </cfRule>
  </conditionalFormatting>
  <conditionalFormatting sqref="AW699">
    <cfRule type="cellIs" dxfId="1242" priority="1243" stopIfTrue="1" operator="lessThan">
      <formula>0.001</formula>
    </cfRule>
  </conditionalFormatting>
  <conditionalFormatting sqref="AW700">
    <cfRule type="cellIs" dxfId="1241" priority="1242" stopIfTrue="1" operator="lessThan">
      <formula>0.001</formula>
    </cfRule>
  </conditionalFormatting>
  <conditionalFormatting sqref="AW701:AW703">
    <cfRule type="cellIs" dxfId="1240" priority="1241" stopIfTrue="1" operator="lessThan">
      <formula>0.001</formula>
    </cfRule>
  </conditionalFormatting>
  <conditionalFormatting sqref="AW704">
    <cfRule type="cellIs" dxfId="1239" priority="1240" stopIfTrue="1" operator="lessThan">
      <formula>0.001</formula>
    </cfRule>
  </conditionalFormatting>
  <conditionalFormatting sqref="AW705">
    <cfRule type="cellIs" dxfId="1238" priority="1239" stopIfTrue="1" operator="lessThan">
      <formula>0.001</formula>
    </cfRule>
  </conditionalFormatting>
  <conditionalFormatting sqref="AW707:AW709">
    <cfRule type="cellIs" dxfId="1237" priority="1238" stopIfTrue="1" operator="lessThan">
      <formula>0.001</formula>
    </cfRule>
  </conditionalFormatting>
  <conditionalFormatting sqref="AW706">
    <cfRule type="cellIs" dxfId="1236" priority="1237" stopIfTrue="1" operator="lessThan">
      <formula>0.001</formula>
    </cfRule>
  </conditionalFormatting>
  <conditionalFormatting sqref="AW710">
    <cfRule type="cellIs" dxfId="1235" priority="1236" stopIfTrue="1" operator="lessThan">
      <formula>0.001</formula>
    </cfRule>
  </conditionalFormatting>
  <conditionalFormatting sqref="AW711:AW716">
    <cfRule type="cellIs" dxfId="1234" priority="1235" stopIfTrue="1" operator="lessThan">
      <formula>0.001</formula>
    </cfRule>
  </conditionalFormatting>
  <conditionalFormatting sqref="AW717">
    <cfRule type="cellIs" dxfId="1233" priority="1234" stopIfTrue="1" operator="lessThan">
      <formula>0.001</formula>
    </cfRule>
  </conditionalFormatting>
  <conditionalFormatting sqref="AW718:AW720">
    <cfRule type="cellIs" dxfId="1232" priority="1233" stopIfTrue="1" operator="lessThan">
      <formula>0.001</formula>
    </cfRule>
  </conditionalFormatting>
  <conditionalFormatting sqref="AW721">
    <cfRule type="cellIs" dxfId="1231" priority="1232" stopIfTrue="1" operator="lessThan">
      <formula>0.001</formula>
    </cfRule>
  </conditionalFormatting>
  <conditionalFormatting sqref="AW722:AW724">
    <cfRule type="cellIs" dxfId="1230" priority="1231" stopIfTrue="1" operator="lessThan">
      <formula>0.001</formula>
    </cfRule>
  </conditionalFormatting>
  <conditionalFormatting sqref="AW725">
    <cfRule type="cellIs" dxfId="1229" priority="1230" stopIfTrue="1" operator="lessThan">
      <formula>0.001</formula>
    </cfRule>
  </conditionalFormatting>
  <conditionalFormatting sqref="AW726">
    <cfRule type="cellIs" dxfId="1228" priority="1229" stopIfTrue="1" operator="lessThan">
      <formula>0.001</formula>
    </cfRule>
  </conditionalFormatting>
  <conditionalFormatting sqref="AW727">
    <cfRule type="cellIs" dxfId="1227" priority="1228" stopIfTrue="1" operator="lessThan">
      <formula>0.001</formula>
    </cfRule>
  </conditionalFormatting>
  <conditionalFormatting sqref="AW728:AW730">
    <cfRule type="cellIs" dxfId="1226" priority="1227" stopIfTrue="1" operator="lessThan">
      <formula>0.001</formula>
    </cfRule>
  </conditionalFormatting>
  <conditionalFormatting sqref="AW731">
    <cfRule type="cellIs" dxfId="1225" priority="1226" stopIfTrue="1" operator="lessThan">
      <formula>0.001</formula>
    </cfRule>
  </conditionalFormatting>
  <conditionalFormatting sqref="AW732">
    <cfRule type="cellIs" dxfId="1224" priority="1225" stopIfTrue="1" operator="lessThan">
      <formula>0.001</formula>
    </cfRule>
  </conditionalFormatting>
  <conditionalFormatting sqref="AW733">
    <cfRule type="cellIs" dxfId="1223" priority="1224" stopIfTrue="1" operator="lessThan">
      <formula>0.001</formula>
    </cfRule>
  </conditionalFormatting>
  <conditionalFormatting sqref="AW734:AW735">
    <cfRule type="cellIs" dxfId="1222" priority="1223" stopIfTrue="1" operator="lessThan">
      <formula>0.001</formula>
    </cfRule>
  </conditionalFormatting>
  <conditionalFormatting sqref="AW736">
    <cfRule type="cellIs" dxfId="1221" priority="1222" stopIfTrue="1" operator="lessThan">
      <formula>0.001</formula>
    </cfRule>
  </conditionalFormatting>
  <conditionalFormatting sqref="AW737:AW739">
    <cfRule type="cellIs" dxfId="1220" priority="1221" stopIfTrue="1" operator="lessThan">
      <formula>0.001</formula>
    </cfRule>
  </conditionalFormatting>
  <conditionalFormatting sqref="AR681:AR691 AR694:AR695 AR698:AR739">
    <cfRule type="cellIs" dxfId="1219" priority="1220" stopIfTrue="1" operator="lessThan">
      <formula>0.001</formula>
    </cfRule>
  </conditionalFormatting>
  <conditionalFormatting sqref="AR681">
    <cfRule type="cellIs" dxfId="1218" priority="1219" stopIfTrue="1" operator="lessThan">
      <formula>0.001</formula>
    </cfRule>
  </conditionalFormatting>
  <conditionalFormatting sqref="AR682">
    <cfRule type="cellIs" dxfId="1217" priority="1218" stopIfTrue="1" operator="lessThan">
      <formula>0.001</formula>
    </cfRule>
  </conditionalFormatting>
  <conditionalFormatting sqref="AR683:AR690">
    <cfRule type="cellIs" dxfId="1216" priority="1217" stopIfTrue="1" operator="lessThan">
      <formula>0.001</formula>
    </cfRule>
  </conditionalFormatting>
  <conditionalFormatting sqref="AR691">
    <cfRule type="cellIs" dxfId="1215" priority="1216" stopIfTrue="1" operator="lessThan">
      <formula>0.001</formula>
    </cfRule>
  </conditionalFormatting>
  <conditionalFormatting sqref="AR694">
    <cfRule type="cellIs" dxfId="1214" priority="1215" stopIfTrue="1" operator="lessThan">
      <formula>0.001</formula>
    </cfRule>
  </conditionalFormatting>
  <conditionalFormatting sqref="AR695">
    <cfRule type="cellIs" dxfId="1213" priority="1214" stopIfTrue="1" operator="lessThan">
      <formula>0.001</formula>
    </cfRule>
  </conditionalFormatting>
  <conditionalFormatting sqref="AR698">
    <cfRule type="cellIs" dxfId="1212" priority="1213" stopIfTrue="1" operator="lessThan">
      <formula>0.001</formula>
    </cfRule>
  </conditionalFormatting>
  <conditionalFormatting sqref="AR699">
    <cfRule type="cellIs" dxfId="1211" priority="1212" stopIfTrue="1" operator="lessThan">
      <formula>0.001</formula>
    </cfRule>
  </conditionalFormatting>
  <conditionalFormatting sqref="AR700">
    <cfRule type="cellIs" dxfId="1210" priority="1211" stopIfTrue="1" operator="lessThan">
      <formula>0.001</formula>
    </cfRule>
  </conditionalFormatting>
  <conditionalFormatting sqref="AR701:AR703">
    <cfRule type="cellIs" dxfId="1209" priority="1210" stopIfTrue="1" operator="lessThan">
      <formula>0.001</formula>
    </cfRule>
  </conditionalFormatting>
  <conditionalFormatting sqref="AR704">
    <cfRule type="cellIs" dxfId="1208" priority="1209" stopIfTrue="1" operator="lessThan">
      <formula>0.001</formula>
    </cfRule>
  </conditionalFormatting>
  <conditionalFormatting sqref="AR705">
    <cfRule type="cellIs" dxfId="1207" priority="1208" stopIfTrue="1" operator="lessThan">
      <formula>0.001</formula>
    </cfRule>
  </conditionalFormatting>
  <conditionalFormatting sqref="AR707:AR709">
    <cfRule type="cellIs" dxfId="1206" priority="1207" stopIfTrue="1" operator="lessThan">
      <formula>0.001</formula>
    </cfRule>
  </conditionalFormatting>
  <conditionalFormatting sqref="AR706">
    <cfRule type="cellIs" dxfId="1205" priority="1206" stopIfTrue="1" operator="lessThan">
      <formula>0.001</formula>
    </cfRule>
  </conditionalFormatting>
  <conditionalFormatting sqref="AR710">
    <cfRule type="cellIs" dxfId="1204" priority="1205" stopIfTrue="1" operator="lessThan">
      <formula>0.001</formula>
    </cfRule>
  </conditionalFormatting>
  <conditionalFormatting sqref="AR711:AR716">
    <cfRule type="cellIs" dxfId="1203" priority="1204" stopIfTrue="1" operator="lessThan">
      <formula>0.001</formula>
    </cfRule>
  </conditionalFormatting>
  <conditionalFormatting sqref="AR717">
    <cfRule type="cellIs" dxfId="1202" priority="1203" stopIfTrue="1" operator="lessThan">
      <formula>0.001</formula>
    </cfRule>
  </conditionalFormatting>
  <conditionalFormatting sqref="AR718:AR720">
    <cfRule type="cellIs" dxfId="1201" priority="1202" stopIfTrue="1" operator="lessThan">
      <formula>0.001</formula>
    </cfRule>
  </conditionalFormatting>
  <conditionalFormatting sqref="AR721">
    <cfRule type="cellIs" dxfId="1200" priority="1201" stopIfTrue="1" operator="lessThan">
      <formula>0.001</formula>
    </cfRule>
  </conditionalFormatting>
  <conditionalFormatting sqref="AR722:AR724">
    <cfRule type="cellIs" dxfId="1199" priority="1200" stopIfTrue="1" operator="lessThan">
      <formula>0.001</formula>
    </cfRule>
  </conditionalFormatting>
  <conditionalFormatting sqref="AR725">
    <cfRule type="cellIs" dxfId="1198" priority="1199" stopIfTrue="1" operator="lessThan">
      <formula>0.001</formula>
    </cfRule>
  </conditionalFormatting>
  <conditionalFormatting sqref="AR726">
    <cfRule type="cellIs" dxfId="1197" priority="1198" stopIfTrue="1" operator="lessThan">
      <formula>0.001</formula>
    </cfRule>
  </conditionalFormatting>
  <conditionalFormatting sqref="AR727">
    <cfRule type="cellIs" dxfId="1196" priority="1197" stopIfTrue="1" operator="lessThan">
      <formula>0.001</formula>
    </cfRule>
  </conditionalFormatting>
  <conditionalFormatting sqref="AR728:AR730">
    <cfRule type="cellIs" dxfId="1195" priority="1196" stopIfTrue="1" operator="lessThan">
      <formula>0.001</formula>
    </cfRule>
  </conditionalFormatting>
  <conditionalFormatting sqref="AR731">
    <cfRule type="cellIs" dxfId="1194" priority="1195" stopIfTrue="1" operator="lessThan">
      <formula>0.001</formula>
    </cfRule>
  </conditionalFormatting>
  <conditionalFormatting sqref="AR732">
    <cfRule type="cellIs" dxfId="1193" priority="1194" stopIfTrue="1" operator="lessThan">
      <formula>0.001</formula>
    </cfRule>
  </conditionalFormatting>
  <conditionalFormatting sqref="AR733">
    <cfRule type="cellIs" dxfId="1192" priority="1193" stopIfTrue="1" operator="lessThan">
      <formula>0.001</formula>
    </cfRule>
  </conditionalFormatting>
  <conditionalFormatting sqref="AR734:AR735">
    <cfRule type="cellIs" dxfId="1191" priority="1192" stopIfTrue="1" operator="lessThan">
      <formula>0.001</formula>
    </cfRule>
  </conditionalFormatting>
  <conditionalFormatting sqref="AR736">
    <cfRule type="cellIs" dxfId="1190" priority="1191" stopIfTrue="1" operator="lessThan">
      <formula>0.001</formula>
    </cfRule>
  </conditionalFormatting>
  <conditionalFormatting sqref="AR737:AR739">
    <cfRule type="cellIs" dxfId="1189" priority="1190" stopIfTrue="1" operator="lessThan">
      <formula>0.001</formula>
    </cfRule>
  </conditionalFormatting>
  <conditionalFormatting sqref="AS681:AS691 AS694:AS695 AS698:AS739">
    <cfRule type="cellIs" dxfId="1188" priority="1189" stopIfTrue="1" operator="lessThan">
      <formula>0.001</formula>
    </cfRule>
  </conditionalFormatting>
  <conditionalFormatting sqref="AS681">
    <cfRule type="cellIs" dxfId="1187" priority="1188" stopIfTrue="1" operator="lessThan">
      <formula>0.001</formula>
    </cfRule>
  </conditionalFormatting>
  <conditionalFormatting sqref="AS682">
    <cfRule type="cellIs" dxfId="1186" priority="1187" stopIfTrue="1" operator="lessThan">
      <formula>0.001</formula>
    </cfRule>
  </conditionalFormatting>
  <conditionalFormatting sqref="AS683:AS690">
    <cfRule type="cellIs" dxfId="1185" priority="1186" stopIfTrue="1" operator="lessThan">
      <formula>0.001</formula>
    </cfRule>
  </conditionalFormatting>
  <conditionalFormatting sqref="AS691">
    <cfRule type="cellIs" dxfId="1184" priority="1185" stopIfTrue="1" operator="lessThan">
      <formula>0.001</formula>
    </cfRule>
  </conditionalFormatting>
  <conditionalFormatting sqref="AS694">
    <cfRule type="cellIs" dxfId="1183" priority="1184" stopIfTrue="1" operator="lessThan">
      <formula>0.001</formula>
    </cfRule>
  </conditionalFormatting>
  <conditionalFormatting sqref="AS695">
    <cfRule type="cellIs" dxfId="1182" priority="1183" stopIfTrue="1" operator="lessThan">
      <formula>0.001</formula>
    </cfRule>
  </conditionalFormatting>
  <conditionalFormatting sqref="AS698">
    <cfRule type="cellIs" dxfId="1181" priority="1182" stopIfTrue="1" operator="lessThan">
      <formula>0.001</formula>
    </cfRule>
  </conditionalFormatting>
  <conditionalFormatting sqref="AS699">
    <cfRule type="cellIs" dxfId="1180" priority="1181" stopIfTrue="1" operator="lessThan">
      <formula>0.001</formula>
    </cfRule>
  </conditionalFormatting>
  <conditionalFormatting sqref="AS700">
    <cfRule type="cellIs" dxfId="1179" priority="1180" stopIfTrue="1" operator="lessThan">
      <formula>0.001</formula>
    </cfRule>
  </conditionalFormatting>
  <conditionalFormatting sqref="AS701:AS703">
    <cfRule type="cellIs" dxfId="1178" priority="1179" stopIfTrue="1" operator="lessThan">
      <formula>0.001</formula>
    </cfRule>
  </conditionalFormatting>
  <conditionalFormatting sqref="AS704">
    <cfRule type="cellIs" dxfId="1177" priority="1178" stopIfTrue="1" operator="lessThan">
      <formula>0.001</formula>
    </cfRule>
  </conditionalFormatting>
  <conditionalFormatting sqref="AS705">
    <cfRule type="cellIs" dxfId="1176" priority="1177" stopIfTrue="1" operator="lessThan">
      <formula>0.001</formula>
    </cfRule>
  </conditionalFormatting>
  <conditionalFormatting sqref="AS707:AS709">
    <cfRule type="cellIs" dxfId="1175" priority="1176" stopIfTrue="1" operator="lessThan">
      <formula>0.001</formula>
    </cfRule>
  </conditionalFormatting>
  <conditionalFormatting sqref="AS706">
    <cfRule type="cellIs" dxfId="1174" priority="1175" stopIfTrue="1" operator="lessThan">
      <formula>0.001</formula>
    </cfRule>
  </conditionalFormatting>
  <conditionalFormatting sqref="AS710">
    <cfRule type="cellIs" dxfId="1173" priority="1174" stopIfTrue="1" operator="lessThan">
      <formula>0.001</formula>
    </cfRule>
  </conditionalFormatting>
  <conditionalFormatting sqref="AS711:AS716">
    <cfRule type="cellIs" dxfId="1172" priority="1173" stopIfTrue="1" operator="lessThan">
      <formula>0.001</formula>
    </cfRule>
  </conditionalFormatting>
  <conditionalFormatting sqref="AS717">
    <cfRule type="cellIs" dxfId="1171" priority="1172" stopIfTrue="1" operator="lessThan">
      <formula>0.001</formula>
    </cfRule>
  </conditionalFormatting>
  <conditionalFormatting sqref="AS718:AS720">
    <cfRule type="cellIs" dxfId="1170" priority="1171" stopIfTrue="1" operator="lessThan">
      <formula>0.001</formula>
    </cfRule>
  </conditionalFormatting>
  <conditionalFormatting sqref="AS721">
    <cfRule type="cellIs" dxfId="1169" priority="1170" stopIfTrue="1" operator="lessThan">
      <formula>0.001</formula>
    </cfRule>
  </conditionalFormatting>
  <conditionalFormatting sqref="AS722:AS724">
    <cfRule type="cellIs" dxfId="1168" priority="1169" stopIfTrue="1" operator="lessThan">
      <formula>0.001</formula>
    </cfRule>
  </conditionalFormatting>
  <conditionalFormatting sqref="AS725">
    <cfRule type="cellIs" dxfId="1167" priority="1168" stopIfTrue="1" operator="lessThan">
      <formula>0.001</formula>
    </cfRule>
  </conditionalFormatting>
  <conditionalFormatting sqref="AS726">
    <cfRule type="cellIs" dxfId="1166" priority="1167" stopIfTrue="1" operator="lessThan">
      <formula>0.001</formula>
    </cfRule>
  </conditionalFormatting>
  <conditionalFormatting sqref="AS727">
    <cfRule type="cellIs" dxfId="1165" priority="1166" stopIfTrue="1" operator="lessThan">
      <formula>0.001</formula>
    </cfRule>
  </conditionalFormatting>
  <conditionalFormatting sqref="AS728:AS730">
    <cfRule type="cellIs" dxfId="1164" priority="1165" stopIfTrue="1" operator="lessThan">
      <formula>0.001</formula>
    </cfRule>
  </conditionalFormatting>
  <conditionalFormatting sqref="AS731">
    <cfRule type="cellIs" dxfId="1163" priority="1164" stopIfTrue="1" operator="lessThan">
      <formula>0.001</formula>
    </cfRule>
  </conditionalFormatting>
  <conditionalFormatting sqref="AS732">
    <cfRule type="cellIs" dxfId="1162" priority="1163" stopIfTrue="1" operator="lessThan">
      <formula>0.001</formula>
    </cfRule>
  </conditionalFormatting>
  <conditionalFormatting sqref="AS733">
    <cfRule type="cellIs" dxfId="1161" priority="1162" stopIfTrue="1" operator="lessThan">
      <formula>0.001</formula>
    </cfRule>
  </conditionalFormatting>
  <conditionalFormatting sqref="AS734:AS735">
    <cfRule type="cellIs" dxfId="1160" priority="1161" stopIfTrue="1" operator="lessThan">
      <formula>0.001</formula>
    </cfRule>
  </conditionalFormatting>
  <conditionalFormatting sqref="AS736">
    <cfRule type="cellIs" dxfId="1159" priority="1160" stopIfTrue="1" operator="lessThan">
      <formula>0.001</formula>
    </cfRule>
  </conditionalFormatting>
  <conditionalFormatting sqref="AS737:AS739">
    <cfRule type="cellIs" dxfId="1158" priority="1159" stopIfTrue="1" operator="lessThan">
      <formula>0.001</formula>
    </cfRule>
  </conditionalFormatting>
  <conditionalFormatting sqref="AT681:AT691 AT694:AT695 AT698:AT739">
    <cfRule type="cellIs" dxfId="1157" priority="1158" stopIfTrue="1" operator="lessThan">
      <formula>0.001</formula>
    </cfRule>
  </conditionalFormatting>
  <conditionalFormatting sqref="AT681">
    <cfRule type="cellIs" dxfId="1156" priority="1157" stopIfTrue="1" operator="lessThan">
      <formula>0.001</formula>
    </cfRule>
  </conditionalFormatting>
  <conditionalFormatting sqref="AT682">
    <cfRule type="cellIs" dxfId="1155" priority="1156" stopIfTrue="1" operator="lessThan">
      <formula>0.001</formula>
    </cfRule>
  </conditionalFormatting>
  <conditionalFormatting sqref="AT683:AT690">
    <cfRule type="cellIs" dxfId="1154" priority="1155" stopIfTrue="1" operator="lessThan">
      <formula>0.001</formula>
    </cfRule>
  </conditionalFormatting>
  <conditionalFormatting sqref="AT691">
    <cfRule type="cellIs" dxfId="1153" priority="1154" stopIfTrue="1" operator="lessThan">
      <formula>0.001</formula>
    </cfRule>
  </conditionalFormatting>
  <conditionalFormatting sqref="AT694">
    <cfRule type="cellIs" dxfId="1152" priority="1153" stopIfTrue="1" operator="lessThan">
      <formula>0.001</formula>
    </cfRule>
  </conditionalFormatting>
  <conditionalFormatting sqref="AT695">
    <cfRule type="cellIs" dxfId="1151" priority="1152" stopIfTrue="1" operator="lessThan">
      <formula>0.001</formula>
    </cfRule>
  </conditionalFormatting>
  <conditionalFormatting sqref="AT698">
    <cfRule type="cellIs" dxfId="1150" priority="1151" stopIfTrue="1" operator="lessThan">
      <formula>0.001</formula>
    </cfRule>
  </conditionalFormatting>
  <conditionalFormatting sqref="AT699">
    <cfRule type="cellIs" dxfId="1149" priority="1150" stopIfTrue="1" operator="lessThan">
      <formula>0.001</formula>
    </cfRule>
  </conditionalFormatting>
  <conditionalFormatting sqref="AT700">
    <cfRule type="cellIs" dxfId="1148" priority="1149" stopIfTrue="1" operator="lessThan">
      <formula>0.001</formula>
    </cfRule>
  </conditionalFormatting>
  <conditionalFormatting sqref="AT701:AT703">
    <cfRule type="cellIs" dxfId="1147" priority="1148" stopIfTrue="1" operator="lessThan">
      <formula>0.001</formula>
    </cfRule>
  </conditionalFormatting>
  <conditionalFormatting sqref="AT704">
    <cfRule type="cellIs" dxfId="1146" priority="1147" stopIfTrue="1" operator="lessThan">
      <formula>0.001</formula>
    </cfRule>
  </conditionalFormatting>
  <conditionalFormatting sqref="AT705">
    <cfRule type="cellIs" dxfId="1145" priority="1146" stopIfTrue="1" operator="lessThan">
      <formula>0.001</formula>
    </cfRule>
  </conditionalFormatting>
  <conditionalFormatting sqref="AT707:AT709">
    <cfRule type="cellIs" dxfId="1144" priority="1145" stopIfTrue="1" operator="lessThan">
      <formula>0.001</formula>
    </cfRule>
  </conditionalFormatting>
  <conditionalFormatting sqref="AT706">
    <cfRule type="cellIs" dxfId="1143" priority="1144" stopIfTrue="1" operator="lessThan">
      <formula>0.001</formula>
    </cfRule>
  </conditionalFormatting>
  <conditionalFormatting sqref="AT710">
    <cfRule type="cellIs" dxfId="1142" priority="1143" stopIfTrue="1" operator="lessThan">
      <formula>0.001</formula>
    </cfRule>
  </conditionalFormatting>
  <conditionalFormatting sqref="AT711:AT716">
    <cfRule type="cellIs" dxfId="1141" priority="1142" stopIfTrue="1" operator="lessThan">
      <formula>0.001</formula>
    </cfRule>
  </conditionalFormatting>
  <conditionalFormatting sqref="AT717">
    <cfRule type="cellIs" dxfId="1140" priority="1141" stopIfTrue="1" operator="lessThan">
      <formula>0.001</formula>
    </cfRule>
  </conditionalFormatting>
  <conditionalFormatting sqref="AT718:AT720">
    <cfRule type="cellIs" dxfId="1139" priority="1140" stopIfTrue="1" operator="lessThan">
      <formula>0.001</formula>
    </cfRule>
  </conditionalFormatting>
  <conditionalFormatting sqref="AT721">
    <cfRule type="cellIs" dxfId="1138" priority="1139" stopIfTrue="1" operator="lessThan">
      <formula>0.001</formula>
    </cfRule>
  </conditionalFormatting>
  <conditionalFormatting sqref="AT722:AT724">
    <cfRule type="cellIs" dxfId="1137" priority="1138" stopIfTrue="1" operator="lessThan">
      <formula>0.001</formula>
    </cfRule>
  </conditionalFormatting>
  <conditionalFormatting sqref="AT725">
    <cfRule type="cellIs" dxfId="1136" priority="1137" stopIfTrue="1" operator="lessThan">
      <formula>0.001</formula>
    </cfRule>
  </conditionalFormatting>
  <conditionalFormatting sqref="AT726">
    <cfRule type="cellIs" dxfId="1135" priority="1136" stopIfTrue="1" operator="lessThan">
      <formula>0.001</formula>
    </cfRule>
  </conditionalFormatting>
  <conditionalFormatting sqref="AT727">
    <cfRule type="cellIs" dxfId="1134" priority="1135" stopIfTrue="1" operator="lessThan">
      <formula>0.001</formula>
    </cfRule>
  </conditionalFormatting>
  <conditionalFormatting sqref="AT728:AT730">
    <cfRule type="cellIs" dxfId="1133" priority="1134" stopIfTrue="1" operator="lessThan">
      <formula>0.001</formula>
    </cfRule>
  </conditionalFormatting>
  <conditionalFormatting sqref="AT731">
    <cfRule type="cellIs" dxfId="1132" priority="1133" stopIfTrue="1" operator="lessThan">
      <formula>0.001</formula>
    </cfRule>
  </conditionalFormatting>
  <conditionalFormatting sqref="AT732">
    <cfRule type="cellIs" dxfId="1131" priority="1132" stopIfTrue="1" operator="lessThan">
      <formula>0.001</formula>
    </cfRule>
  </conditionalFormatting>
  <conditionalFormatting sqref="AT733">
    <cfRule type="cellIs" dxfId="1130" priority="1131" stopIfTrue="1" operator="lessThan">
      <formula>0.001</formula>
    </cfRule>
  </conditionalFormatting>
  <conditionalFormatting sqref="AT734:AT735">
    <cfRule type="cellIs" dxfId="1129" priority="1130" stopIfTrue="1" operator="lessThan">
      <formula>0.001</formula>
    </cfRule>
  </conditionalFormatting>
  <conditionalFormatting sqref="AT736">
    <cfRule type="cellIs" dxfId="1128" priority="1129" stopIfTrue="1" operator="lessThan">
      <formula>0.001</formula>
    </cfRule>
  </conditionalFormatting>
  <conditionalFormatting sqref="AT737:AT739">
    <cfRule type="cellIs" dxfId="1127" priority="1128" stopIfTrue="1" operator="lessThan">
      <formula>0.001</formula>
    </cfRule>
  </conditionalFormatting>
  <conditionalFormatting sqref="AR681:AT691 AR694:AT695 AR698:AT739">
    <cfRule type="cellIs" dxfId="1126" priority="1127" stopIfTrue="1" operator="lessThan">
      <formula>0.001</formula>
    </cfRule>
  </conditionalFormatting>
  <conditionalFormatting sqref="AR681:AR691 AR694:AR695 AR698:AR739">
    <cfRule type="cellIs" dxfId="1125" priority="1126" stopIfTrue="1" operator="lessThan">
      <formula>0.001</formula>
    </cfRule>
  </conditionalFormatting>
  <conditionalFormatting sqref="AR681">
    <cfRule type="cellIs" dxfId="1124" priority="1125" stopIfTrue="1" operator="lessThan">
      <formula>0.001</formula>
    </cfRule>
  </conditionalFormatting>
  <conditionalFormatting sqref="AR682">
    <cfRule type="cellIs" dxfId="1123" priority="1124" stopIfTrue="1" operator="lessThan">
      <formula>0.001</formula>
    </cfRule>
  </conditionalFormatting>
  <conditionalFormatting sqref="AR683:AR690">
    <cfRule type="cellIs" dxfId="1122" priority="1123" stopIfTrue="1" operator="lessThan">
      <formula>0.001</formula>
    </cfRule>
  </conditionalFormatting>
  <conditionalFormatting sqref="AR691">
    <cfRule type="cellIs" dxfId="1121" priority="1122" stopIfTrue="1" operator="lessThan">
      <formula>0.001</formula>
    </cfRule>
  </conditionalFormatting>
  <conditionalFormatting sqref="AR694">
    <cfRule type="cellIs" dxfId="1120" priority="1121" stopIfTrue="1" operator="lessThan">
      <formula>0.001</formula>
    </cfRule>
  </conditionalFormatting>
  <conditionalFormatting sqref="AR695">
    <cfRule type="cellIs" dxfId="1119" priority="1120" stopIfTrue="1" operator="lessThan">
      <formula>0.001</formula>
    </cfRule>
  </conditionalFormatting>
  <conditionalFormatting sqref="AR698">
    <cfRule type="cellIs" dxfId="1118" priority="1119" stopIfTrue="1" operator="lessThan">
      <formula>0.001</formula>
    </cfRule>
  </conditionalFormatting>
  <conditionalFormatting sqref="AR699">
    <cfRule type="cellIs" dxfId="1117" priority="1118" stopIfTrue="1" operator="lessThan">
      <formula>0.001</formula>
    </cfRule>
  </conditionalFormatting>
  <conditionalFormatting sqref="AR700">
    <cfRule type="cellIs" dxfId="1116" priority="1117" stopIfTrue="1" operator="lessThan">
      <formula>0.001</formula>
    </cfRule>
  </conditionalFormatting>
  <conditionalFormatting sqref="AR701:AR703">
    <cfRule type="cellIs" dxfId="1115" priority="1116" stopIfTrue="1" operator="lessThan">
      <formula>0.001</formula>
    </cfRule>
  </conditionalFormatting>
  <conditionalFormatting sqref="AR704">
    <cfRule type="cellIs" dxfId="1114" priority="1115" stopIfTrue="1" operator="lessThan">
      <formula>0.001</formula>
    </cfRule>
  </conditionalFormatting>
  <conditionalFormatting sqref="AR705">
    <cfRule type="cellIs" dxfId="1113" priority="1114" stopIfTrue="1" operator="lessThan">
      <formula>0.001</formula>
    </cfRule>
  </conditionalFormatting>
  <conditionalFormatting sqref="AR707:AR709">
    <cfRule type="cellIs" dxfId="1112" priority="1113" stopIfTrue="1" operator="lessThan">
      <formula>0.001</formula>
    </cfRule>
  </conditionalFormatting>
  <conditionalFormatting sqref="AR706">
    <cfRule type="cellIs" dxfId="1111" priority="1112" stopIfTrue="1" operator="lessThan">
      <formula>0.001</formula>
    </cfRule>
  </conditionalFormatting>
  <conditionalFormatting sqref="AR710">
    <cfRule type="cellIs" dxfId="1110" priority="1111" stopIfTrue="1" operator="lessThan">
      <formula>0.001</formula>
    </cfRule>
  </conditionalFormatting>
  <conditionalFormatting sqref="AR711:AR716">
    <cfRule type="cellIs" dxfId="1109" priority="1110" stopIfTrue="1" operator="lessThan">
      <formula>0.001</formula>
    </cfRule>
  </conditionalFormatting>
  <conditionalFormatting sqref="AR717">
    <cfRule type="cellIs" dxfId="1108" priority="1109" stopIfTrue="1" operator="lessThan">
      <formula>0.001</formula>
    </cfRule>
  </conditionalFormatting>
  <conditionalFormatting sqref="AR718:AR720">
    <cfRule type="cellIs" dxfId="1107" priority="1108" stopIfTrue="1" operator="lessThan">
      <formula>0.001</formula>
    </cfRule>
  </conditionalFormatting>
  <conditionalFormatting sqref="AR721">
    <cfRule type="cellIs" dxfId="1106" priority="1107" stopIfTrue="1" operator="lessThan">
      <formula>0.001</formula>
    </cfRule>
  </conditionalFormatting>
  <conditionalFormatting sqref="AR722:AR724">
    <cfRule type="cellIs" dxfId="1105" priority="1106" stopIfTrue="1" operator="lessThan">
      <formula>0.001</formula>
    </cfRule>
  </conditionalFormatting>
  <conditionalFormatting sqref="AR725">
    <cfRule type="cellIs" dxfId="1104" priority="1105" stopIfTrue="1" operator="lessThan">
      <formula>0.001</formula>
    </cfRule>
  </conditionalFormatting>
  <conditionalFormatting sqref="AR726">
    <cfRule type="cellIs" dxfId="1103" priority="1104" stopIfTrue="1" operator="lessThan">
      <formula>0.001</formula>
    </cfRule>
  </conditionalFormatting>
  <conditionalFormatting sqref="AR727">
    <cfRule type="cellIs" dxfId="1102" priority="1103" stopIfTrue="1" operator="lessThan">
      <formula>0.001</formula>
    </cfRule>
  </conditionalFormatting>
  <conditionalFormatting sqref="AR728:AR730">
    <cfRule type="cellIs" dxfId="1101" priority="1102" stopIfTrue="1" operator="lessThan">
      <formula>0.001</formula>
    </cfRule>
  </conditionalFormatting>
  <conditionalFormatting sqref="AR731">
    <cfRule type="cellIs" dxfId="1100" priority="1101" stopIfTrue="1" operator="lessThan">
      <formula>0.001</formula>
    </cfRule>
  </conditionalFormatting>
  <conditionalFormatting sqref="AR732">
    <cfRule type="cellIs" dxfId="1099" priority="1100" stopIfTrue="1" operator="lessThan">
      <formula>0.001</formula>
    </cfRule>
  </conditionalFormatting>
  <conditionalFormatting sqref="AR733">
    <cfRule type="cellIs" dxfId="1098" priority="1099" stopIfTrue="1" operator="lessThan">
      <formula>0.001</formula>
    </cfRule>
  </conditionalFormatting>
  <conditionalFormatting sqref="AR734:AR735">
    <cfRule type="cellIs" dxfId="1097" priority="1098" stopIfTrue="1" operator="lessThan">
      <formula>0.001</formula>
    </cfRule>
  </conditionalFormatting>
  <conditionalFormatting sqref="AR736">
    <cfRule type="cellIs" dxfId="1096" priority="1097" stopIfTrue="1" operator="lessThan">
      <formula>0.001</formula>
    </cfRule>
  </conditionalFormatting>
  <conditionalFormatting sqref="AR737:AR739">
    <cfRule type="cellIs" dxfId="1095" priority="1096" stopIfTrue="1" operator="lessThan">
      <formula>0.001</formula>
    </cfRule>
  </conditionalFormatting>
  <conditionalFormatting sqref="AS681:AS691 AS694:AS695 AS698:AS739">
    <cfRule type="cellIs" dxfId="1094" priority="1095" stopIfTrue="1" operator="lessThan">
      <formula>0.001</formula>
    </cfRule>
  </conditionalFormatting>
  <conditionalFormatting sqref="AS681">
    <cfRule type="cellIs" dxfId="1093" priority="1094" stopIfTrue="1" operator="lessThan">
      <formula>0.001</formula>
    </cfRule>
  </conditionalFormatting>
  <conditionalFormatting sqref="AS682">
    <cfRule type="cellIs" dxfId="1092" priority="1093" stopIfTrue="1" operator="lessThan">
      <formula>0.001</formula>
    </cfRule>
  </conditionalFormatting>
  <conditionalFormatting sqref="AS683:AS690">
    <cfRule type="cellIs" dxfId="1091" priority="1092" stopIfTrue="1" operator="lessThan">
      <formula>0.001</formula>
    </cfRule>
  </conditionalFormatting>
  <conditionalFormatting sqref="AS691">
    <cfRule type="cellIs" dxfId="1090" priority="1091" stopIfTrue="1" operator="lessThan">
      <formula>0.001</formula>
    </cfRule>
  </conditionalFormatting>
  <conditionalFormatting sqref="AS694">
    <cfRule type="cellIs" dxfId="1089" priority="1090" stopIfTrue="1" operator="lessThan">
      <formula>0.001</formula>
    </cfRule>
  </conditionalFormatting>
  <conditionalFormatting sqref="AS695">
    <cfRule type="cellIs" dxfId="1088" priority="1089" stopIfTrue="1" operator="lessThan">
      <formula>0.001</formula>
    </cfRule>
  </conditionalFormatting>
  <conditionalFormatting sqref="AS698">
    <cfRule type="cellIs" dxfId="1087" priority="1088" stopIfTrue="1" operator="lessThan">
      <formula>0.001</formula>
    </cfRule>
  </conditionalFormatting>
  <conditionalFormatting sqref="AS699">
    <cfRule type="cellIs" dxfId="1086" priority="1087" stopIfTrue="1" operator="lessThan">
      <formula>0.001</formula>
    </cfRule>
  </conditionalFormatting>
  <conditionalFormatting sqref="AS700">
    <cfRule type="cellIs" dxfId="1085" priority="1086" stopIfTrue="1" operator="lessThan">
      <formula>0.001</formula>
    </cfRule>
  </conditionalFormatting>
  <conditionalFormatting sqref="AS701:AS703">
    <cfRule type="cellIs" dxfId="1084" priority="1085" stopIfTrue="1" operator="lessThan">
      <formula>0.001</formula>
    </cfRule>
  </conditionalFormatting>
  <conditionalFormatting sqref="AS704">
    <cfRule type="cellIs" dxfId="1083" priority="1084" stopIfTrue="1" operator="lessThan">
      <formula>0.001</formula>
    </cfRule>
  </conditionalFormatting>
  <conditionalFormatting sqref="AS705">
    <cfRule type="cellIs" dxfId="1082" priority="1083" stopIfTrue="1" operator="lessThan">
      <formula>0.001</formula>
    </cfRule>
  </conditionalFormatting>
  <conditionalFormatting sqref="AS707:AS709">
    <cfRule type="cellIs" dxfId="1081" priority="1082" stopIfTrue="1" operator="lessThan">
      <formula>0.001</formula>
    </cfRule>
  </conditionalFormatting>
  <conditionalFormatting sqref="AS706">
    <cfRule type="cellIs" dxfId="1080" priority="1081" stopIfTrue="1" operator="lessThan">
      <formula>0.001</formula>
    </cfRule>
  </conditionalFormatting>
  <conditionalFormatting sqref="AS710">
    <cfRule type="cellIs" dxfId="1079" priority="1080" stopIfTrue="1" operator="lessThan">
      <formula>0.001</formula>
    </cfRule>
  </conditionalFormatting>
  <conditionalFormatting sqref="AS711:AS716">
    <cfRule type="cellIs" dxfId="1078" priority="1079" stopIfTrue="1" operator="lessThan">
      <formula>0.001</formula>
    </cfRule>
  </conditionalFormatting>
  <conditionalFormatting sqref="AS717">
    <cfRule type="cellIs" dxfId="1077" priority="1078" stopIfTrue="1" operator="lessThan">
      <formula>0.001</formula>
    </cfRule>
  </conditionalFormatting>
  <conditionalFormatting sqref="AS718:AS720">
    <cfRule type="cellIs" dxfId="1076" priority="1077" stopIfTrue="1" operator="lessThan">
      <formula>0.001</formula>
    </cfRule>
  </conditionalFormatting>
  <conditionalFormatting sqref="AS721">
    <cfRule type="cellIs" dxfId="1075" priority="1076" stopIfTrue="1" operator="lessThan">
      <formula>0.001</formula>
    </cfRule>
  </conditionalFormatting>
  <conditionalFormatting sqref="AS722:AS724">
    <cfRule type="cellIs" dxfId="1074" priority="1075" stopIfTrue="1" operator="lessThan">
      <formula>0.001</formula>
    </cfRule>
  </conditionalFormatting>
  <conditionalFormatting sqref="AS725">
    <cfRule type="cellIs" dxfId="1073" priority="1074" stopIfTrue="1" operator="lessThan">
      <formula>0.001</formula>
    </cfRule>
  </conditionalFormatting>
  <conditionalFormatting sqref="AS726">
    <cfRule type="cellIs" dxfId="1072" priority="1073" stopIfTrue="1" operator="lessThan">
      <formula>0.001</formula>
    </cfRule>
  </conditionalFormatting>
  <conditionalFormatting sqref="AS727">
    <cfRule type="cellIs" dxfId="1071" priority="1072" stopIfTrue="1" operator="lessThan">
      <formula>0.001</formula>
    </cfRule>
  </conditionalFormatting>
  <conditionalFormatting sqref="AS728:AS730">
    <cfRule type="cellIs" dxfId="1070" priority="1071" stopIfTrue="1" operator="lessThan">
      <formula>0.001</formula>
    </cfRule>
  </conditionalFormatting>
  <conditionalFormatting sqref="AS731">
    <cfRule type="cellIs" dxfId="1069" priority="1070" stopIfTrue="1" operator="lessThan">
      <formula>0.001</formula>
    </cfRule>
  </conditionalFormatting>
  <conditionalFormatting sqref="AS732">
    <cfRule type="cellIs" dxfId="1068" priority="1069" stopIfTrue="1" operator="lessThan">
      <formula>0.001</formula>
    </cfRule>
  </conditionalFormatting>
  <conditionalFormatting sqref="AS733">
    <cfRule type="cellIs" dxfId="1067" priority="1068" stopIfTrue="1" operator="lessThan">
      <formula>0.001</formula>
    </cfRule>
  </conditionalFormatting>
  <conditionalFormatting sqref="AS734:AS735">
    <cfRule type="cellIs" dxfId="1066" priority="1067" stopIfTrue="1" operator="lessThan">
      <formula>0.001</formula>
    </cfRule>
  </conditionalFormatting>
  <conditionalFormatting sqref="AS736">
    <cfRule type="cellIs" dxfId="1065" priority="1066" stopIfTrue="1" operator="lessThan">
      <formula>0.001</formula>
    </cfRule>
  </conditionalFormatting>
  <conditionalFormatting sqref="AS737:AS739">
    <cfRule type="cellIs" dxfId="1064" priority="1065" stopIfTrue="1" operator="lessThan">
      <formula>0.001</formula>
    </cfRule>
  </conditionalFormatting>
  <conditionalFormatting sqref="AT681:AT691 AT694:AT695 AT698:AT739">
    <cfRule type="cellIs" dxfId="1063" priority="1064" stopIfTrue="1" operator="lessThan">
      <formula>0.001</formula>
    </cfRule>
  </conditionalFormatting>
  <conditionalFormatting sqref="AT681">
    <cfRule type="cellIs" dxfId="1062" priority="1063" stopIfTrue="1" operator="lessThan">
      <formula>0.001</formula>
    </cfRule>
  </conditionalFormatting>
  <conditionalFormatting sqref="AT682">
    <cfRule type="cellIs" dxfId="1061" priority="1062" stopIfTrue="1" operator="lessThan">
      <formula>0.001</formula>
    </cfRule>
  </conditionalFormatting>
  <conditionalFormatting sqref="AT683:AT690">
    <cfRule type="cellIs" dxfId="1060" priority="1061" stopIfTrue="1" operator="lessThan">
      <formula>0.001</formula>
    </cfRule>
  </conditionalFormatting>
  <conditionalFormatting sqref="AT691">
    <cfRule type="cellIs" dxfId="1059" priority="1060" stopIfTrue="1" operator="lessThan">
      <formula>0.001</formula>
    </cfRule>
  </conditionalFormatting>
  <conditionalFormatting sqref="AT694">
    <cfRule type="cellIs" dxfId="1058" priority="1059" stopIfTrue="1" operator="lessThan">
      <formula>0.001</formula>
    </cfRule>
  </conditionalFormatting>
  <conditionalFormatting sqref="AT695">
    <cfRule type="cellIs" dxfId="1057" priority="1058" stopIfTrue="1" operator="lessThan">
      <formula>0.001</formula>
    </cfRule>
  </conditionalFormatting>
  <conditionalFormatting sqref="AT698">
    <cfRule type="cellIs" dxfId="1056" priority="1057" stopIfTrue="1" operator="lessThan">
      <formula>0.001</formula>
    </cfRule>
  </conditionalFormatting>
  <conditionalFormatting sqref="AT699">
    <cfRule type="cellIs" dxfId="1055" priority="1056" stopIfTrue="1" operator="lessThan">
      <formula>0.001</formula>
    </cfRule>
  </conditionalFormatting>
  <conditionalFormatting sqref="AT700">
    <cfRule type="cellIs" dxfId="1054" priority="1055" stopIfTrue="1" operator="lessThan">
      <formula>0.001</formula>
    </cfRule>
  </conditionalFormatting>
  <conditionalFormatting sqref="AT701:AT703">
    <cfRule type="cellIs" dxfId="1053" priority="1054" stopIfTrue="1" operator="lessThan">
      <formula>0.001</formula>
    </cfRule>
  </conditionalFormatting>
  <conditionalFormatting sqref="AT704">
    <cfRule type="cellIs" dxfId="1052" priority="1053" stopIfTrue="1" operator="lessThan">
      <formula>0.001</formula>
    </cfRule>
  </conditionalFormatting>
  <conditionalFormatting sqref="AT705">
    <cfRule type="cellIs" dxfId="1051" priority="1052" stopIfTrue="1" operator="lessThan">
      <formula>0.001</formula>
    </cfRule>
  </conditionalFormatting>
  <conditionalFormatting sqref="AT707:AT709">
    <cfRule type="cellIs" dxfId="1050" priority="1051" stopIfTrue="1" operator="lessThan">
      <formula>0.001</formula>
    </cfRule>
  </conditionalFormatting>
  <conditionalFormatting sqref="AT706">
    <cfRule type="cellIs" dxfId="1049" priority="1050" stopIfTrue="1" operator="lessThan">
      <formula>0.001</formula>
    </cfRule>
  </conditionalFormatting>
  <conditionalFormatting sqref="AT710">
    <cfRule type="cellIs" dxfId="1048" priority="1049" stopIfTrue="1" operator="lessThan">
      <formula>0.001</formula>
    </cfRule>
  </conditionalFormatting>
  <conditionalFormatting sqref="AT711:AT716">
    <cfRule type="cellIs" dxfId="1047" priority="1048" stopIfTrue="1" operator="lessThan">
      <formula>0.001</formula>
    </cfRule>
  </conditionalFormatting>
  <conditionalFormatting sqref="AT717">
    <cfRule type="cellIs" dxfId="1046" priority="1047" stopIfTrue="1" operator="lessThan">
      <formula>0.001</formula>
    </cfRule>
  </conditionalFormatting>
  <conditionalFormatting sqref="AT718:AT720">
    <cfRule type="cellIs" dxfId="1045" priority="1046" stopIfTrue="1" operator="lessThan">
      <formula>0.001</formula>
    </cfRule>
  </conditionalFormatting>
  <conditionalFormatting sqref="AT721">
    <cfRule type="cellIs" dxfId="1044" priority="1045" stopIfTrue="1" operator="lessThan">
      <formula>0.001</formula>
    </cfRule>
  </conditionalFormatting>
  <conditionalFormatting sqref="AT722:AT724">
    <cfRule type="cellIs" dxfId="1043" priority="1044" stopIfTrue="1" operator="lessThan">
      <formula>0.001</formula>
    </cfRule>
  </conditionalFormatting>
  <conditionalFormatting sqref="AT725">
    <cfRule type="cellIs" dxfId="1042" priority="1043" stopIfTrue="1" operator="lessThan">
      <formula>0.001</formula>
    </cfRule>
  </conditionalFormatting>
  <conditionalFormatting sqref="AT726">
    <cfRule type="cellIs" dxfId="1041" priority="1042" stopIfTrue="1" operator="lessThan">
      <formula>0.001</formula>
    </cfRule>
  </conditionalFormatting>
  <conditionalFormatting sqref="AT727">
    <cfRule type="cellIs" dxfId="1040" priority="1041" stopIfTrue="1" operator="lessThan">
      <formula>0.001</formula>
    </cfRule>
  </conditionalFormatting>
  <conditionalFormatting sqref="AT728:AT730">
    <cfRule type="cellIs" dxfId="1039" priority="1040" stopIfTrue="1" operator="lessThan">
      <formula>0.001</formula>
    </cfRule>
  </conditionalFormatting>
  <conditionalFormatting sqref="AT731">
    <cfRule type="cellIs" dxfId="1038" priority="1039" stopIfTrue="1" operator="lessThan">
      <formula>0.001</formula>
    </cfRule>
  </conditionalFormatting>
  <conditionalFormatting sqref="AT732">
    <cfRule type="cellIs" dxfId="1037" priority="1038" stopIfTrue="1" operator="lessThan">
      <formula>0.001</formula>
    </cfRule>
  </conditionalFormatting>
  <conditionalFormatting sqref="AT733">
    <cfRule type="cellIs" dxfId="1036" priority="1037" stopIfTrue="1" operator="lessThan">
      <formula>0.001</formula>
    </cfRule>
  </conditionalFormatting>
  <conditionalFormatting sqref="AT734:AT735">
    <cfRule type="cellIs" dxfId="1035" priority="1036" stopIfTrue="1" operator="lessThan">
      <formula>0.001</formula>
    </cfRule>
  </conditionalFormatting>
  <conditionalFormatting sqref="AT736">
    <cfRule type="cellIs" dxfId="1034" priority="1035" stopIfTrue="1" operator="lessThan">
      <formula>0.001</formula>
    </cfRule>
  </conditionalFormatting>
  <conditionalFormatting sqref="AT737:AT739">
    <cfRule type="cellIs" dxfId="1033" priority="1034" stopIfTrue="1" operator="lessThan">
      <formula>0.001</formula>
    </cfRule>
  </conditionalFormatting>
  <conditionalFormatting sqref="AR681:AT691 AR694:AT695 AR698:AT739">
    <cfRule type="cellIs" dxfId="1032" priority="1033" stopIfTrue="1" operator="lessThan">
      <formula>0.001</formula>
    </cfRule>
  </conditionalFormatting>
  <conditionalFormatting sqref="AR681:AR691 AR694:AR695 AR698:AR739">
    <cfRule type="cellIs" dxfId="1031" priority="1032" stopIfTrue="1" operator="lessThan">
      <formula>0.001</formula>
    </cfRule>
  </conditionalFormatting>
  <conditionalFormatting sqref="AR681">
    <cfRule type="cellIs" dxfId="1030" priority="1031" stopIfTrue="1" operator="lessThan">
      <formula>0.001</formula>
    </cfRule>
  </conditionalFormatting>
  <conditionalFormatting sqref="AR682">
    <cfRule type="cellIs" dxfId="1029" priority="1030" stopIfTrue="1" operator="lessThan">
      <formula>0.001</formula>
    </cfRule>
  </conditionalFormatting>
  <conditionalFormatting sqref="AR683:AR690">
    <cfRule type="cellIs" dxfId="1028" priority="1029" stopIfTrue="1" operator="lessThan">
      <formula>0.001</formula>
    </cfRule>
  </conditionalFormatting>
  <conditionalFormatting sqref="AR691">
    <cfRule type="cellIs" dxfId="1027" priority="1028" stopIfTrue="1" operator="lessThan">
      <formula>0.001</formula>
    </cfRule>
  </conditionalFormatting>
  <conditionalFormatting sqref="AR694">
    <cfRule type="cellIs" dxfId="1026" priority="1027" stopIfTrue="1" operator="lessThan">
      <formula>0.001</formula>
    </cfRule>
  </conditionalFormatting>
  <conditionalFormatting sqref="AR695">
    <cfRule type="cellIs" dxfId="1025" priority="1026" stopIfTrue="1" operator="lessThan">
      <formula>0.001</formula>
    </cfRule>
  </conditionalFormatting>
  <conditionalFormatting sqref="AR698">
    <cfRule type="cellIs" dxfId="1024" priority="1025" stopIfTrue="1" operator="lessThan">
      <formula>0.001</formula>
    </cfRule>
  </conditionalFormatting>
  <conditionalFormatting sqref="AR699">
    <cfRule type="cellIs" dxfId="1023" priority="1024" stopIfTrue="1" operator="lessThan">
      <formula>0.001</formula>
    </cfRule>
  </conditionalFormatting>
  <conditionalFormatting sqref="AR700">
    <cfRule type="cellIs" dxfId="1022" priority="1023" stopIfTrue="1" operator="lessThan">
      <formula>0.001</formula>
    </cfRule>
  </conditionalFormatting>
  <conditionalFormatting sqref="AR701:AR703">
    <cfRule type="cellIs" dxfId="1021" priority="1022" stopIfTrue="1" operator="lessThan">
      <formula>0.001</formula>
    </cfRule>
  </conditionalFormatting>
  <conditionalFormatting sqref="AR704">
    <cfRule type="cellIs" dxfId="1020" priority="1021" stopIfTrue="1" operator="lessThan">
      <formula>0.001</formula>
    </cfRule>
  </conditionalFormatting>
  <conditionalFormatting sqref="AR705">
    <cfRule type="cellIs" dxfId="1019" priority="1020" stopIfTrue="1" operator="lessThan">
      <formula>0.001</formula>
    </cfRule>
  </conditionalFormatting>
  <conditionalFormatting sqref="AR707:AR709">
    <cfRule type="cellIs" dxfId="1018" priority="1019" stopIfTrue="1" operator="lessThan">
      <formula>0.001</formula>
    </cfRule>
  </conditionalFormatting>
  <conditionalFormatting sqref="AR706">
    <cfRule type="cellIs" dxfId="1017" priority="1018" stopIfTrue="1" operator="lessThan">
      <formula>0.001</formula>
    </cfRule>
  </conditionalFormatting>
  <conditionalFormatting sqref="AR710">
    <cfRule type="cellIs" dxfId="1016" priority="1017" stopIfTrue="1" operator="lessThan">
      <formula>0.001</formula>
    </cfRule>
  </conditionalFormatting>
  <conditionalFormatting sqref="AR711:AR716">
    <cfRule type="cellIs" dxfId="1015" priority="1016" stopIfTrue="1" operator="lessThan">
      <formula>0.001</formula>
    </cfRule>
  </conditionalFormatting>
  <conditionalFormatting sqref="AR717">
    <cfRule type="cellIs" dxfId="1014" priority="1015" stopIfTrue="1" operator="lessThan">
      <formula>0.001</formula>
    </cfRule>
  </conditionalFormatting>
  <conditionalFormatting sqref="AR718:AR720">
    <cfRule type="cellIs" dxfId="1013" priority="1014" stopIfTrue="1" operator="lessThan">
      <formula>0.001</formula>
    </cfRule>
  </conditionalFormatting>
  <conditionalFormatting sqref="AR721">
    <cfRule type="cellIs" dxfId="1012" priority="1013" stopIfTrue="1" operator="lessThan">
      <formula>0.001</formula>
    </cfRule>
  </conditionalFormatting>
  <conditionalFormatting sqref="AR722:AR724">
    <cfRule type="cellIs" dxfId="1011" priority="1012" stopIfTrue="1" operator="lessThan">
      <formula>0.001</formula>
    </cfRule>
  </conditionalFormatting>
  <conditionalFormatting sqref="AR725">
    <cfRule type="cellIs" dxfId="1010" priority="1011" stopIfTrue="1" operator="lessThan">
      <formula>0.001</formula>
    </cfRule>
  </conditionalFormatting>
  <conditionalFormatting sqref="AR726">
    <cfRule type="cellIs" dxfId="1009" priority="1010" stopIfTrue="1" operator="lessThan">
      <formula>0.001</formula>
    </cfRule>
  </conditionalFormatting>
  <conditionalFormatting sqref="AR727">
    <cfRule type="cellIs" dxfId="1008" priority="1009" stopIfTrue="1" operator="lessThan">
      <formula>0.001</formula>
    </cfRule>
  </conditionalFormatting>
  <conditionalFormatting sqref="AR728:AR730">
    <cfRule type="cellIs" dxfId="1007" priority="1008" stopIfTrue="1" operator="lessThan">
      <formula>0.001</formula>
    </cfRule>
  </conditionalFormatting>
  <conditionalFormatting sqref="AR731">
    <cfRule type="cellIs" dxfId="1006" priority="1007" stopIfTrue="1" operator="lessThan">
      <formula>0.001</formula>
    </cfRule>
  </conditionalFormatting>
  <conditionalFormatting sqref="AR732">
    <cfRule type="cellIs" dxfId="1005" priority="1006" stopIfTrue="1" operator="lessThan">
      <formula>0.001</formula>
    </cfRule>
  </conditionalFormatting>
  <conditionalFormatting sqref="AR733">
    <cfRule type="cellIs" dxfId="1004" priority="1005" stopIfTrue="1" operator="lessThan">
      <formula>0.001</formula>
    </cfRule>
  </conditionalFormatting>
  <conditionalFormatting sqref="AR734:AR735">
    <cfRule type="cellIs" dxfId="1003" priority="1004" stopIfTrue="1" operator="lessThan">
      <formula>0.001</formula>
    </cfRule>
  </conditionalFormatting>
  <conditionalFormatting sqref="AR736">
    <cfRule type="cellIs" dxfId="1002" priority="1003" stopIfTrue="1" operator="lessThan">
      <formula>0.001</formula>
    </cfRule>
  </conditionalFormatting>
  <conditionalFormatting sqref="AR737:AR739">
    <cfRule type="cellIs" dxfId="1001" priority="1002" stopIfTrue="1" operator="lessThan">
      <formula>0.001</formula>
    </cfRule>
  </conditionalFormatting>
  <conditionalFormatting sqref="AS681:AS691 AS694:AS695 AS698:AS739">
    <cfRule type="cellIs" dxfId="1000" priority="1001" stopIfTrue="1" operator="lessThan">
      <formula>0.001</formula>
    </cfRule>
  </conditionalFormatting>
  <conditionalFormatting sqref="AS681">
    <cfRule type="cellIs" dxfId="999" priority="1000" stopIfTrue="1" operator="lessThan">
      <formula>0.001</formula>
    </cfRule>
  </conditionalFormatting>
  <conditionalFormatting sqref="AS682">
    <cfRule type="cellIs" dxfId="998" priority="999" stopIfTrue="1" operator="lessThan">
      <formula>0.001</formula>
    </cfRule>
  </conditionalFormatting>
  <conditionalFormatting sqref="AS683:AS690">
    <cfRule type="cellIs" dxfId="997" priority="998" stopIfTrue="1" operator="lessThan">
      <formula>0.001</formula>
    </cfRule>
  </conditionalFormatting>
  <conditionalFormatting sqref="AS691">
    <cfRule type="cellIs" dxfId="996" priority="997" stopIfTrue="1" operator="lessThan">
      <formula>0.001</formula>
    </cfRule>
  </conditionalFormatting>
  <conditionalFormatting sqref="AS694">
    <cfRule type="cellIs" dxfId="995" priority="996" stopIfTrue="1" operator="lessThan">
      <formula>0.001</formula>
    </cfRule>
  </conditionalFormatting>
  <conditionalFormatting sqref="AS695">
    <cfRule type="cellIs" dxfId="994" priority="995" stopIfTrue="1" operator="lessThan">
      <formula>0.001</formula>
    </cfRule>
  </conditionalFormatting>
  <conditionalFormatting sqref="AS698">
    <cfRule type="cellIs" dxfId="993" priority="994" stopIfTrue="1" operator="lessThan">
      <formula>0.001</formula>
    </cfRule>
  </conditionalFormatting>
  <conditionalFormatting sqref="AS699">
    <cfRule type="cellIs" dxfId="992" priority="993" stopIfTrue="1" operator="lessThan">
      <formula>0.001</formula>
    </cfRule>
  </conditionalFormatting>
  <conditionalFormatting sqref="AS700">
    <cfRule type="cellIs" dxfId="991" priority="992" stopIfTrue="1" operator="lessThan">
      <formula>0.001</formula>
    </cfRule>
  </conditionalFormatting>
  <conditionalFormatting sqref="AS701:AS703">
    <cfRule type="cellIs" dxfId="990" priority="991" stopIfTrue="1" operator="lessThan">
      <formula>0.001</formula>
    </cfRule>
  </conditionalFormatting>
  <conditionalFormatting sqref="AS704">
    <cfRule type="cellIs" dxfId="989" priority="990" stopIfTrue="1" operator="lessThan">
      <formula>0.001</formula>
    </cfRule>
  </conditionalFormatting>
  <conditionalFormatting sqref="AS705">
    <cfRule type="cellIs" dxfId="988" priority="989" stopIfTrue="1" operator="lessThan">
      <formula>0.001</formula>
    </cfRule>
  </conditionalFormatting>
  <conditionalFormatting sqref="AS707:AS709">
    <cfRule type="cellIs" dxfId="987" priority="988" stopIfTrue="1" operator="lessThan">
      <formula>0.001</formula>
    </cfRule>
  </conditionalFormatting>
  <conditionalFormatting sqref="AS706">
    <cfRule type="cellIs" dxfId="986" priority="987" stopIfTrue="1" operator="lessThan">
      <formula>0.001</formula>
    </cfRule>
  </conditionalFormatting>
  <conditionalFormatting sqref="AS710">
    <cfRule type="cellIs" dxfId="985" priority="986" stopIfTrue="1" operator="lessThan">
      <formula>0.001</formula>
    </cfRule>
  </conditionalFormatting>
  <conditionalFormatting sqref="AS711:AS716">
    <cfRule type="cellIs" dxfId="984" priority="985" stopIfTrue="1" operator="lessThan">
      <formula>0.001</formula>
    </cfRule>
  </conditionalFormatting>
  <conditionalFormatting sqref="AS717">
    <cfRule type="cellIs" dxfId="983" priority="984" stopIfTrue="1" operator="lessThan">
      <formula>0.001</formula>
    </cfRule>
  </conditionalFormatting>
  <conditionalFormatting sqref="AS718:AS720">
    <cfRule type="cellIs" dxfId="982" priority="983" stopIfTrue="1" operator="lessThan">
      <formula>0.001</formula>
    </cfRule>
  </conditionalFormatting>
  <conditionalFormatting sqref="AS721">
    <cfRule type="cellIs" dxfId="981" priority="982" stopIfTrue="1" operator="lessThan">
      <formula>0.001</formula>
    </cfRule>
  </conditionalFormatting>
  <conditionalFormatting sqref="AS722:AS724">
    <cfRule type="cellIs" dxfId="980" priority="981" stopIfTrue="1" operator="lessThan">
      <formula>0.001</formula>
    </cfRule>
  </conditionalFormatting>
  <conditionalFormatting sqref="AS725">
    <cfRule type="cellIs" dxfId="979" priority="980" stopIfTrue="1" operator="lessThan">
      <formula>0.001</formula>
    </cfRule>
  </conditionalFormatting>
  <conditionalFormatting sqref="AS726">
    <cfRule type="cellIs" dxfId="978" priority="979" stopIfTrue="1" operator="lessThan">
      <formula>0.001</formula>
    </cfRule>
  </conditionalFormatting>
  <conditionalFormatting sqref="AS727">
    <cfRule type="cellIs" dxfId="977" priority="978" stopIfTrue="1" operator="lessThan">
      <formula>0.001</formula>
    </cfRule>
  </conditionalFormatting>
  <conditionalFormatting sqref="AS728:AS730">
    <cfRule type="cellIs" dxfId="976" priority="977" stopIfTrue="1" operator="lessThan">
      <formula>0.001</formula>
    </cfRule>
  </conditionalFormatting>
  <conditionalFormatting sqref="AS731">
    <cfRule type="cellIs" dxfId="975" priority="976" stopIfTrue="1" operator="lessThan">
      <formula>0.001</formula>
    </cfRule>
  </conditionalFormatting>
  <conditionalFormatting sqref="AS732">
    <cfRule type="cellIs" dxfId="974" priority="975" stopIfTrue="1" operator="lessThan">
      <formula>0.001</formula>
    </cfRule>
  </conditionalFormatting>
  <conditionalFormatting sqref="AS733">
    <cfRule type="cellIs" dxfId="973" priority="974" stopIfTrue="1" operator="lessThan">
      <formula>0.001</formula>
    </cfRule>
  </conditionalFormatting>
  <conditionalFormatting sqref="AS734:AS735">
    <cfRule type="cellIs" dxfId="972" priority="973" stopIfTrue="1" operator="lessThan">
      <formula>0.001</formula>
    </cfRule>
  </conditionalFormatting>
  <conditionalFormatting sqref="AS736">
    <cfRule type="cellIs" dxfId="971" priority="972" stopIfTrue="1" operator="lessThan">
      <formula>0.001</formula>
    </cfRule>
  </conditionalFormatting>
  <conditionalFormatting sqref="AS737:AS739">
    <cfRule type="cellIs" dxfId="970" priority="971" stopIfTrue="1" operator="lessThan">
      <formula>0.001</formula>
    </cfRule>
  </conditionalFormatting>
  <conditionalFormatting sqref="AT681:AT691 AT694:AT695 AT698:AT739">
    <cfRule type="cellIs" dxfId="969" priority="970" stopIfTrue="1" operator="lessThan">
      <formula>0.001</formula>
    </cfRule>
  </conditionalFormatting>
  <conditionalFormatting sqref="AT681">
    <cfRule type="cellIs" dxfId="968" priority="969" stopIfTrue="1" operator="lessThan">
      <formula>0.001</formula>
    </cfRule>
  </conditionalFormatting>
  <conditionalFormatting sqref="AT682">
    <cfRule type="cellIs" dxfId="967" priority="968" stopIfTrue="1" operator="lessThan">
      <formula>0.001</formula>
    </cfRule>
  </conditionalFormatting>
  <conditionalFormatting sqref="AT683:AT690">
    <cfRule type="cellIs" dxfId="966" priority="967" stopIfTrue="1" operator="lessThan">
      <formula>0.001</formula>
    </cfRule>
  </conditionalFormatting>
  <conditionalFormatting sqref="AT691">
    <cfRule type="cellIs" dxfId="965" priority="966" stopIfTrue="1" operator="lessThan">
      <formula>0.001</formula>
    </cfRule>
  </conditionalFormatting>
  <conditionalFormatting sqref="AT694">
    <cfRule type="cellIs" dxfId="964" priority="965" stopIfTrue="1" operator="lessThan">
      <formula>0.001</formula>
    </cfRule>
  </conditionalFormatting>
  <conditionalFormatting sqref="AT695">
    <cfRule type="cellIs" dxfId="963" priority="964" stopIfTrue="1" operator="lessThan">
      <formula>0.001</formula>
    </cfRule>
  </conditionalFormatting>
  <conditionalFormatting sqref="AT698">
    <cfRule type="cellIs" dxfId="962" priority="963" stopIfTrue="1" operator="lessThan">
      <formula>0.001</formula>
    </cfRule>
  </conditionalFormatting>
  <conditionalFormatting sqref="AT699">
    <cfRule type="cellIs" dxfId="961" priority="962" stopIfTrue="1" operator="lessThan">
      <formula>0.001</formula>
    </cfRule>
  </conditionalFormatting>
  <conditionalFormatting sqref="AT700">
    <cfRule type="cellIs" dxfId="960" priority="961" stopIfTrue="1" operator="lessThan">
      <formula>0.001</formula>
    </cfRule>
  </conditionalFormatting>
  <conditionalFormatting sqref="AT701:AT703">
    <cfRule type="cellIs" dxfId="959" priority="960" stopIfTrue="1" operator="lessThan">
      <formula>0.001</formula>
    </cfRule>
  </conditionalFormatting>
  <conditionalFormatting sqref="AT704">
    <cfRule type="cellIs" dxfId="958" priority="959" stopIfTrue="1" operator="lessThan">
      <formula>0.001</formula>
    </cfRule>
  </conditionalFormatting>
  <conditionalFormatting sqref="AT705">
    <cfRule type="cellIs" dxfId="957" priority="958" stopIfTrue="1" operator="lessThan">
      <formula>0.001</formula>
    </cfRule>
  </conditionalFormatting>
  <conditionalFormatting sqref="AT707:AT709">
    <cfRule type="cellIs" dxfId="956" priority="957" stopIfTrue="1" operator="lessThan">
      <formula>0.001</formula>
    </cfRule>
  </conditionalFormatting>
  <conditionalFormatting sqref="AT706">
    <cfRule type="cellIs" dxfId="955" priority="956" stopIfTrue="1" operator="lessThan">
      <formula>0.001</formula>
    </cfRule>
  </conditionalFormatting>
  <conditionalFormatting sqref="AT710">
    <cfRule type="cellIs" dxfId="954" priority="955" stopIfTrue="1" operator="lessThan">
      <formula>0.001</formula>
    </cfRule>
  </conditionalFormatting>
  <conditionalFormatting sqref="AT711:AT716">
    <cfRule type="cellIs" dxfId="953" priority="954" stopIfTrue="1" operator="lessThan">
      <formula>0.001</formula>
    </cfRule>
  </conditionalFormatting>
  <conditionalFormatting sqref="AT717">
    <cfRule type="cellIs" dxfId="952" priority="953" stopIfTrue="1" operator="lessThan">
      <formula>0.001</formula>
    </cfRule>
  </conditionalFormatting>
  <conditionalFormatting sqref="AT718:AT720">
    <cfRule type="cellIs" dxfId="951" priority="952" stopIfTrue="1" operator="lessThan">
      <formula>0.001</formula>
    </cfRule>
  </conditionalFormatting>
  <conditionalFormatting sqref="AT721">
    <cfRule type="cellIs" dxfId="950" priority="951" stopIfTrue="1" operator="lessThan">
      <formula>0.001</formula>
    </cfRule>
  </conditionalFormatting>
  <conditionalFormatting sqref="AT722:AT724">
    <cfRule type="cellIs" dxfId="949" priority="950" stopIfTrue="1" operator="lessThan">
      <formula>0.001</formula>
    </cfRule>
  </conditionalFormatting>
  <conditionalFormatting sqref="AT725">
    <cfRule type="cellIs" dxfId="948" priority="949" stopIfTrue="1" operator="lessThan">
      <formula>0.001</formula>
    </cfRule>
  </conditionalFormatting>
  <conditionalFormatting sqref="AT726">
    <cfRule type="cellIs" dxfId="947" priority="948" stopIfTrue="1" operator="lessThan">
      <formula>0.001</formula>
    </cfRule>
  </conditionalFormatting>
  <conditionalFormatting sqref="AT727">
    <cfRule type="cellIs" dxfId="946" priority="947" stopIfTrue="1" operator="lessThan">
      <formula>0.001</formula>
    </cfRule>
  </conditionalFormatting>
  <conditionalFormatting sqref="AT728:AT730">
    <cfRule type="cellIs" dxfId="945" priority="946" stopIfTrue="1" operator="lessThan">
      <formula>0.001</formula>
    </cfRule>
  </conditionalFormatting>
  <conditionalFormatting sqref="AT731">
    <cfRule type="cellIs" dxfId="944" priority="945" stopIfTrue="1" operator="lessThan">
      <formula>0.001</formula>
    </cfRule>
  </conditionalFormatting>
  <conditionalFormatting sqref="AT732">
    <cfRule type="cellIs" dxfId="943" priority="944" stopIfTrue="1" operator="lessThan">
      <formula>0.001</formula>
    </cfRule>
  </conditionalFormatting>
  <conditionalFormatting sqref="AT733">
    <cfRule type="cellIs" dxfId="942" priority="943" stopIfTrue="1" operator="lessThan">
      <formula>0.001</formula>
    </cfRule>
  </conditionalFormatting>
  <conditionalFormatting sqref="AT734:AT735">
    <cfRule type="cellIs" dxfId="941" priority="942" stopIfTrue="1" operator="lessThan">
      <formula>0.001</formula>
    </cfRule>
  </conditionalFormatting>
  <conditionalFormatting sqref="AT736">
    <cfRule type="cellIs" dxfId="940" priority="941" stopIfTrue="1" operator="lessThan">
      <formula>0.001</formula>
    </cfRule>
  </conditionalFormatting>
  <conditionalFormatting sqref="AT737:AT739">
    <cfRule type="cellIs" dxfId="939" priority="940" stopIfTrue="1" operator="lessThan">
      <formula>0.001</formula>
    </cfRule>
  </conditionalFormatting>
  <conditionalFormatting sqref="AO681:AO691 AO694:AO695 AO698:AO739">
    <cfRule type="cellIs" dxfId="938" priority="939" stopIfTrue="1" operator="lessThan">
      <formula>0.001</formula>
    </cfRule>
  </conditionalFormatting>
  <conditionalFormatting sqref="AO681">
    <cfRule type="cellIs" dxfId="937" priority="938" stopIfTrue="1" operator="lessThan">
      <formula>0.001</formula>
    </cfRule>
  </conditionalFormatting>
  <conditionalFormatting sqref="AO682">
    <cfRule type="cellIs" dxfId="936" priority="937" stopIfTrue="1" operator="lessThan">
      <formula>0.001</formula>
    </cfRule>
  </conditionalFormatting>
  <conditionalFormatting sqref="AO683:AO690">
    <cfRule type="cellIs" dxfId="935" priority="936" stopIfTrue="1" operator="lessThan">
      <formula>0.001</formula>
    </cfRule>
  </conditionalFormatting>
  <conditionalFormatting sqref="AO691">
    <cfRule type="cellIs" dxfId="934" priority="935" stopIfTrue="1" operator="lessThan">
      <formula>0.001</formula>
    </cfRule>
  </conditionalFormatting>
  <conditionalFormatting sqref="AO694">
    <cfRule type="cellIs" dxfId="933" priority="934" stopIfTrue="1" operator="lessThan">
      <formula>0.001</formula>
    </cfRule>
  </conditionalFormatting>
  <conditionalFormatting sqref="AO695">
    <cfRule type="cellIs" dxfId="932" priority="933" stopIfTrue="1" operator="lessThan">
      <formula>0.001</formula>
    </cfRule>
  </conditionalFormatting>
  <conditionalFormatting sqref="AO698">
    <cfRule type="cellIs" dxfId="931" priority="932" stopIfTrue="1" operator="lessThan">
      <formula>0.001</formula>
    </cfRule>
  </conditionalFormatting>
  <conditionalFormatting sqref="AO699">
    <cfRule type="cellIs" dxfId="930" priority="931" stopIfTrue="1" operator="lessThan">
      <formula>0.001</formula>
    </cfRule>
  </conditionalFormatting>
  <conditionalFormatting sqref="AO700">
    <cfRule type="cellIs" dxfId="929" priority="930" stopIfTrue="1" operator="lessThan">
      <formula>0.001</formula>
    </cfRule>
  </conditionalFormatting>
  <conditionalFormatting sqref="AO701:AO703">
    <cfRule type="cellIs" dxfId="928" priority="929" stopIfTrue="1" operator="lessThan">
      <formula>0.001</formula>
    </cfRule>
  </conditionalFormatting>
  <conditionalFormatting sqref="AO704">
    <cfRule type="cellIs" dxfId="927" priority="928" stopIfTrue="1" operator="lessThan">
      <formula>0.001</formula>
    </cfRule>
  </conditionalFormatting>
  <conditionalFormatting sqref="AO705">
    <cfRule type="cellIs" dxfId="926" priority="927" stopIfTrue="1" operator="lessThan">
      <formula>0.001</formula>
    </cfRule>
  </conditionalFormatting>
  <conditionalFormatting sqref="AO707:AO709">
    <cfRule type="cellIs" dxfId="925" priority="926" stopIfTrue="1" operator="lessThan">
      <formula>0.001</formula>
    </cfRule>
  </conditionalFormatting>
  <conditionalFormatting sqref="AO706">
    <cfRule type="cellIs" dxfId="924" priority="925" stopIfTrue="1" operator="lessThan">
      <formula>0.001</formula>
    </cfRule>
  </conditionalFormatting>
  <conditionalFormatting sqref="AO710">
    <cfRule type="cellIs" dxfId="923" priority="924" stopIfTrue="1" operator="lessThan">
      <formula>0.001</formula>
    </cfRule>
  </conditionalFormatting>
  <conditionalFormatting sqref="AO711:AO716">
    <cfRule type="cellIs" dxfId="922" priority="923" stopIfTrue="1" operator="lessThan">
      <formula>0.001</formula>
    </cfRule>
  </conditionalFormatting>
  <conditionalFormatting sqref="AO717">
    <cfRule type="cellIs" dxfId="921" priority="922" stopIfTrue="1" operator="lessThan">
      <formula>0.001</formula>
    </cfRule>
  </conditionalFormatting>
  <conditionalFormatting sqref="AO718:AO720">
    <cfRule type="cellIs" dxfId="920" priority="921" stopIfTrue="1" operator="lessThan">
      <formula>0.001</formula>
    </cfRule>
  </conditionalFormatting>
  <conditionalFormatting sqref="AO721">
    <cfRule type="cellIs" dxfId="919" priority="920" stopIfTrue="1" operator="lessThan">
      <formula>0.001</formula>
    </cfRule>
  </conditionalFormatting>
  <conditionalFormatting sqref="AO722:AO724">
    <cfRule type="cellIs" dxfId="918" priority="919" stopIfTrue="1" operator="lessThan">
      <formula>0.001</formula>
    </cfRule>
  </conditionalFormatting>
  <conditionalFormatting sqref="AO725">
    <cfRule type="cellIs" dxfId="917" priority="918" stopIfTrue="1" operator="lessThan">
      <formula>0.001</formula>
    </cfRule>
  </conditionalFormatting>
  <conditionalFormatting sqref="AO726">
    <cfRule type="cellIs" dxfId="916" priority="917" stopIfTrue="1" operator="lessThan">
      <formula>0.001</formula>
    </cfRule>
  </conditionalFormatting>
  <conditionalFormatting sqref="AO727">
    <cfRule type="cellIs" dxfId="915" priority="916" stopIfTrue="1" operator="lessThan">
      <formula>0.001</formula>
    </cfRule>
  </conditionalFormatting>
  <conditionalFormatting sqref="AO728:AO730">
    <cfRule type="cellIs" dxfId="914" priority="915" stopIfTrue="1" operator="lessThan">
      <formula>0.001</formula>
    </cfRule>
  </conditionalFormatting>
  <conditionalFormatting sqref="AO731">
    <cfRule type="cellIs" dxfId="913" priority="914" stopIfTrue="1" operator="lessThan">
      <formula>0.001</formula>
    </cfRule>
  </conditionalFormatting>
  <conditionalFormatting sqref="AO732">
    <cfRule type="cellIs" dxfId="912" priority="913" stopIfTrue="1" operator="lessThan">
      <formula>0.001</formula>
    </cfRule>
  </conditionalFormatting>
  <conditionalFormatting sqref="AO733">
    <cfRule type="cellIs" dxfId="911" priority="912" stopIfTrue="1" operator="lessThan">
      <formula>0.001</formula>
    </cfRule>
  </conditionalFormatting>
  <conditionalFormatting sqref="AO734:AO735">
    <cfRule type="cellIs" dxfId="910" priority="911" stopIfTrue="1" operator="lessThan">
      <formula>0.001</formula>
    </cfRule>
  </conditionalFormatting>
  <conditionalFormatting sqref="AO736">
    <cfRule type="cellIs" dxfId="909" priority="910" stopIfTrue="1" operator="lessThan">
      <formula>0.001</formula>
    </cfRule>
  </conditionalFormatting>
  <conditionalFormatting sqref="AO737:AO739">
    <cfRule type="cellIs" dxfId="908" priority="909" stopIfTrue="1" operator="lessThan">
      <formula>0.001</formula>
    </cfRule>
  </conditionalFormatting>
  <conditionalFormatting sqref="AP681:AP691 AP694:AP695 AP698:AP739">
    <cfRule type="cellIs" dxfId="907" priority="908" stopIfTrue="1" operator="lessThan">
      <formula>0.001</formula>
    </cfRule>
  </conditionalFormatting>
  <conditionalFormatting sqref="AP681">
    <cfRule type="cellIs" dxfId="906" priority="907" stopIfTrue="1" operator="lessThan">
      <formula>0.001</formula>
    </cfRule>
  </conditionalFormatting>
  <conditionalFormatting sqref="AP682">
    <cfRule type="cellIs" dxfId="905" priority="906" stopIfTrue="1" operator="lessThan">
      <formula>0.001</formula>
    </cfRule>
  </conditionalFormatting>
  <conditionalFormatting sqref="AP683:AP690">
    <cfRule type="cellIs" dxfId="904" priority="905" stopIfTrue="1" operator="lessThan">
      <formula>0.001</formula>
    </cfRule>
  </conditionalFormatting>
  <conditionalFormatting sqref="AP691">
    <cfRule type="cellIs" dxfId="903" priority="904" stopIfTrue="1" operator="lessThan">
      <formula>0.001</formula>
    </cfRule>
  </conditionalFormatting>
  <conditionalFormatting sqref="AP694">
    <cfRule type="cellIs" dxfId="902" priority="903" stopIfTrue="1" operator="lessThan">
      <formula>0.001</formula>
    </cfRule>
  </conditionalFormatting>
  <conditionalFormatting sqref="AP695">
    <cfRule type="cellIs" dxfId="901" priority="902" stopIfTrue="1" operator="lessThan">
      <formula>0.001</formula>
    </cfRule>
  </conditionalFormatting>
  <conditionalFormatting sqref="AP698">
    <cfRule type="cellIs" dxfId="900" priority="901" stopIfTrue="1" operator="lessThan">
      <formula>0.001</formula>
    </cfRule>
  </conditionalFormatting>
  <conditionalFormatting sqref="AP699">
    <cfRule type="cellIs" dxfId="899" priority="900" stopIfTrue="1" operator="lessThan">
      <formula>0.001</formula>
    </cfRule>
  </conditionalFormatting>
  <conditionalFormatting sqref="AP700">
    <cfRule type="cellIs" dxfId="898" priority="899" stopIfTrue="1" operator="lessThan">
      <formula>0.001</formula>
    </cfRule>
  </conditionalFormatting>
  <conditionalFormatting sqref="AP701:AP703">
    <cfRule type="cellIs" dxfId="897" priority="898" stopIfTrue="1" operator="lessThan">
      <formula>0.001</formula>
    </cfRule>
  </conditionalFormatting>
  <conditionalFormatting sqref="AP704">
    <cfRule type="cellIs" dxfId="896" priority="897" stopIfTrue="1" operator="lessThan">
      <formula>0.001</formula>
    </cfRule>
  </conditionalFormatting>
  <conditionalFormatting sqref="AP705">
    <cfRule type="cellIs" dxfId="895" priority="896" stopIfTrue="1" operator="lessThan">
      <formula>0.001</formula>
    </cfRule>
  </conditionalFormatting>
  <conditionalFormatting sqref="AP707:AP709">
    <cfRule type="cellIs" dxfId="894" priority="895" stopIfTrue="1" operator="lessThan">
      <formula>0.001</formula>
    </cfRule>
  </conditionalFormatting>
  <conditionalFormatting sqref="AP706">
    <cfRule type="cellIs" dxfId="893" priority="894" stopIfTrue="1" operator="lessThan">
      <formula>0.001</formula>
    </cfRule>
  </conditionalFormatting>
  <conditionalFormatting sqref="AP710">
    <cfRule type="cellIs" dxfId="892" priority="893" stopIfTrue="1" operator="lessThan">
      <formula>0.001</formula>
    </cfRule>
  </conditionalFormatting>
  <conditionalFormatting sqref="AP711:AP716">
    <cfRule type="cellIs" dxfId="891" priority="892" stopIfTrue="1" operator="lessThan">
      <formula>0.001</formula>
    </cfRule>
  </conditionalFormatting>
  <conditionalFormatting sqref="AP717">
    <cfRule type="cellIs" dxfId="890" priority="891" stopIfTrue="1" operator="lessThan">
      <formula>0.001</formula>
    </cfRule>
  </conditionalFormatting>
  <conditionalFormatting sqref="AP718:AP720">
    <cfRule type="cellIs" dxfId="889" priority="890" stopIfTrue="1" operator="lessThan">
      <formula>0.001</formula>
    </cfRule>
  </conditionalFormatting>
  <conditionalFormatting sqref="AP721">
    <cfRule type="cellIs" dxfId="888" priority="889" stopIfTrue="1" operator="lessThan">
      <formula>0.001</formula>
    </cfRule>
  </conditionalFormatting>
  <conditionalFormatting sqref="AP722:AP724">
    <cfRule type="cellIs" dxfId="887" priority="888" stopIfTrue="1" operator="lessThan">
      <formula>0.001</formula>
    </cfRule>
  </conditionalFormatting>
  <conditionalFormatting sqref="AP725">
    <cfRule type="cellIs" dxfId="886" priority="887" stopIfTrue="1" operator="lessThan">
      <formula>0.001</formula>
    </cfRule>
  </conditionalFormatting>
  <conditionalFormatting sqref="AP726">
    <cfRule type="cellIs" dxfId="885" priority="886" stopIfTrue="1" operator="lessThan">
      <formula>0.001</formula>
    </cfRule>
  </conditionalFormatting>
  <conditionalFormatting sqref="AP727">
    <cfRule type="cellIs" dxfId="884" priority="885" stopIfTrue="1" operator="lessThan">
      <formula>0.001</formula>
    </cfRule>
  </conditionalFormatting>
  <conditionalFormatting sqref="AP728:AP730">
    <cfRule type="cellIs" dxfId="883" priority="884" stopIfTrue="1" operator="lessThan">
      <formula>0.001</formula>
    </cfRule>
  </conditionalFormatting>
  <conditionalFormatting sqref="AP731">
    <cfRule type="cellIs" dxfId="882" priority="883" stopIfTrue="1" operator="lessThan">
      <formula>0.001</formula>
    </cfRule>
  </conditionalFormatting>
  <conditionalFormatting sqref="AP732">
    <cfRule type="cellIs" dxfId="881" priority="882" stopIfTrue="1" operator="lessThan">
      <formula>0.001</formula>
    </cfRule>
  </conditionalFormatting>
  <conditionalFormatting sqref="AP733">
    <cfRule type="cellIs" dxfId="880" priority="881" stopIfTrue="1" operator="lessThan">
      <formula>0.001</formula>
    </cfRule>
  </conditionalFormatting>
  <conditionalFormatting sqref="AP734:AP735">
    <cfRule type="cellIs" dxfId="879" priority="880" stopIfTrue="1" operator="lessThan">
      <formula>0.001</formula>
    </cfRule>
  </conditionalFormatting>
  <conditionalFormatting sqref="AP736">
    <cfRule type="cellIs" dxfId="878" priority="879" stopIfTrue="1" operator="lessThan">
      <formula>0.001</formula>
    </cfRule>
  </conditionalFormatting>
  <conditionalFormatting sqref="AP737:AP739">
    <cfRule type="cellIs" dxfId="877" priority="878" stopIfTrue="1" operator="lessThan">
      <formula>0.001</formula>
    </cfRule>
  </conditionalFormatting>
  <conditionalFormatting sqref="AQ681:AQ691 AQ694:AQ695 AQ698:AQ739">
    <cfRule type="cellIs" dxfId="876" priority="877" stopIfTrue="1" operator="lessThan">
      <formula>0.001</formula>
    </cfRule>
  </conditionalFormatting>
  <conditionalFormatting sqref="AQ681">
    <cfRule type="cellIs" dxfId="875" priority="876" stopIfTrue="1" operator="lessThan">
      <formula>0.001</formula>
    </cfRule>
  </conditionalFormatting>
  <conditionalFormatting sqref="AQ682">
    <cfRule type="cellIs" dxfId="874" priority="875" stopIfTrue="1" operator="lessThan">
      <formula>0.001</formula>
    </cfRule>
  </conditionalFormatting>
  <conditionalFormatting sqref="AQ683:AQ690">
    <cfRule type="cellIs" dxfId="873" priority="874" stopIfTrue="1" operator="lessThan">
      <formula>0.001</formula>
    </cfRule>
  </conditionalFormatting>
  <conditionalFormatting sqref="AQ691">
    <cfRule type="cellIs" dxfId="872" priority="873" stopIfTrue="1" operator="lessThan">
      <formula>0.001</formula>
    </cfRule>
  </conditionalFormatting>
  <conditionalFormatting sqref="AQ694">
    <cfRule type="cellIs" dxfId="871" priority="872" stopIfTrue="1" operator="lessThan">
      <formula>0.001</formula>
    </cfRule>
  </conditionalFormatting>
  <conditionalFormatting sqref="AQ695">
    <cfRule type="cellIs" dxfId="870" priority="871" stopIfTrue="1" operator="lessThan">
      <formula>0.001</formula>
    </cfRule>
  </conditionalFormatting>
  <conditionalFormatting sqref="AQ698">
    <cfRule type="cellIs" dxfId="869" priority="870" stopIfTrue="1" operator="lessThan">
      <formula>0.001</formula>
    </cfRule>
  </conditionalFormatting>
  <conditionalFormatting sqref="AQ699">
    <cfRule type="cellIs" dxfId="868" priority="869" stopIfTrue="1" operator="lessThan">
      <formula>0.001</formula>
    </cfRule>
  </conditionalFormatting>
  <conditionalFormatting sqref="AQ700">
    <cfRule type="cellIs" dxfId="867" priority="868" stopIfTrue="1" operator="lessThan">
      <formula>0.001</formula>
    </cfRule>
  </conditionalFormatting>
  <conditionalFormatting sqref="AQ701:AQ703">
    <cfRule type="cellIs" dxfId="866" priority="867" stopIfTrue="1" operator="lessThan">
      <formula>0.001</formula>
    </cfRule>
  </conditionalFormatting>
  <conditionalFormatting sqref="AQ704">
    <cfRule type="cellIs" dxfId="865" priority="866" stopIfTrue="1" operator="lessThan">
      <formula>0.001</formula>
    </cfRule>
  </conditionalFormatting>
  <conditionalFormatting sqref="AQ705">
    <cfRule type="cellIs" dxfId="864" priority="865" stopIfTrue="1" operator="lessThan">
      <formula>0.001</formula>
    </cfRule>
  </conditionalFormatting>
  <conditionalFormatting sqref="AQ707:AQ709">
    <cfRule type="cellIs" dxfId="863" priority="864" stopIfTrue="1" operator="lessThan">
      <formula>0.001</formula>
    </cfRule>
  </conditionalFormatting>
  <conditionalFormatting sqref="AQ706">
    <cfRule type="cellIs" dxfId="862" priority="863" stopIfTrue="1" operator="lessThan">
      <formula>0.001</formula>
    </cfRule>
  </conditionalFormatting>
  <conditionalFormatting sqref="AQ710">
    <cfRule type="cellIs" dxfId="861" priority="862" stopIfTrue="1" operator="lessThan">
      <formula>0.001</formula>
    </cfRule>
  </conditionalFormatting>
  <conditionalFormatting sqref="AQ711:AQ716">
    <cfRule type="cellIs" dxfId="860" priority="861" stopIfTrue="1" operator="lessThan">
      <formula>0.001</formula>
    </cfRule>
  </conditionalFormatting>
  <conditionalFormatting sqref="AQ717">
    <cfRule type="cellIs" dxfId="859" priority="860" stopIfTrue="1" operator="lessThan">
      <formula>0.001</formula>
    </cfRule>
  </conditionalFormatting>
  <conditionalFormatting sqref="AQ718:AQ720">
    <cfRule type="cellIs" dxfId="858" priority="859" stopIfTrue="1" operator="lessThan">
      <formula>0.001</formula>
    </cfRule>
  </conditionalFormatting>
  <conditionalFormatting sqref="AQ721">
    <cfRule type="cellIs" dxfId="857" priority="858" stopIfTrue="1" operator="lessThan">
      <formula>0.001</formula>
    </cfRule>
  </conditionalFormatting>
  <conditionalFormatting sqref="AQ722:AQ724">
    <cfRule type="cellIs" dxfId="856" priority="857" stopIfTrue="1" operator="lessThan">
      <formula>0.001</formula>
    </cfRule>
  </conditionalFormatting>
  <conditionalFormatting sqref="AQ725">
    <cfRule type="cellIs" dxfId="855" priority="856" stopIfTrue="1" operator="lessThan">
      <formula>0.001</formula>
    </cfRule>
  </conditionalFormatting>
  <conditionalFormatting sqref="AQ726">
    <cfRule type="cellIs" dxfId="854" priority="855" stopIfTrue="1" operator="lessThan">
      <formula>0.001</formula>
    </cfRule>
  </conditionalFormatting>
  <conditionalFormatting sqref="AQ727">
    <cfRule type="cellIs" dxfId="853" priority="854" stopIfTrue="1" operator="lessThan">
      <formula>0.001</formula>
    </cfRule>
  </conditionalFormatting>
  <conditionalFormatting sqref="AQ728:AQ730">
    <cfRule type="cellIs" dxfId="852" priority="853" stopIfTrue="1" operator="lessThan">
      <formula>0.001</formula>
    </cfRule>
  </conditionalFormatting>
  <conditionalFormatting sqref="AQ731">
    <cfRule type="cellIs" dxfId="851" priority="852" stopIfTrue="1" operator="lessThan">
      <formula>0.001</formula>
    </cfRule>
  </conditionalFormatting>
  <conditionalFormatting sqref="AQ732">
    <cfRule type="cellIs" dxfId="850" priority="851" stopIfTrue="1" operator="lessThan">
      <formula>0.001</formula>
    </cfRule>
  </conditionalFormatting>
  <conditionalFormatting sqref="AQ733">
    <cfRule type="cellIs" dxfId="849" priority="850" stopIfTrue="1" operator="lessThan">
      <formula>0.001</formula>
    </cfRule>
  </conditionalFormatting>
  <conditionalFormatting sqref="AQ734:AQ735">
    <cfRule type="cellIs" dxfId="848" priority="849" stopIfTrue="1" operator="lessThan">
      <formula>0.001</formula>
    </cfRule>
  </conditionalFormatting>
  <conditionalFormatting sqref="AQ736">
    <cfRule type="cellIs" dxfId="847" priority="848" stopIfTrue="1" operator="lessThan">
      <formula>0.001</formula>
    </cfRule>
  </conditionalFormatting>
  <conditionalFormatting sqref="AQ737:AQ739">
    <cfRule type="cellIs" dxfId="846" priority="847" stopIfTrue="1" operator="lessThan">
      <formula>0.001</formula>
    </cfRule>
  </conditionalFormatting>
  <conditionalFormatting sqref="AO681:AQ691 AO694:AQ695 AO698:AQ739">
    <cfRule type="cellIs" dxfId="845" priority="846" stopIfTrue="1" operator="lessThan">
      <formula>0.001</formula>
    </cfRule>
  </conditionalFormatting>
  <conditionalFormatting sqref="AO681:AO691 AO694:AO695 AO698:AO739">
    <cfRule type="cellIs" dxfId="844" priority="845" stopIfTrue="1" operator="lessThan">
      <formula>0.001</formula>
    </cfRule>
  </conditionalFormatting>
  <conditionalFormatting sqref="AO681">
    <cfRule type="cellIs" dxfId="843" priority="844" stopIfTrue="1" operator="lessThan">
      <formula>0.001</formula>
    </cfRule>
  </conditionalFormatting>
  <conditionalFormatting sqref="AO682">
    <cfRule type="cellIs" dxfId="842" priority="843" stopIfTrue="1" operator="lessThan">
      <formula>0.001</formula>
    </cfRule>
  </conditionalFormatting>
  <conditionalFormatting sqref="AO683:AO690">
    <cfRule type="cellIs" dxfId="841" priority="842" stopIfTrue="1" operator="lessThan">
      <formula>0.001</formula>
    </cfRule>
  </conditionalFormatting>
  <conditionalFormatting sqref="AO691">
    <cfRule type="cellIs" dxfId="840" priority="841" stopIfTrue="1" operator="lessThan">
      <formula>0.001</formula>
    </cfRule>
  </conditionalFormatting>
  <conditionalFormatting sqref="AO694">
    <cfRule type="cellIs" dxfId="839" priority="840" stopIfTrue="1" operator="lessThan">
      <formula>0.001</formula>
    </cfRule>
  </conditionalFormatting>
  <conditionalFormatting sqref="AO695">
    <cfRule type="cellIs" dxfId="838" priority="839" stopIfTrue="1" operator="lessThan">
      <formula>0.001</formula>
    </cfRule>
  </conditionalFormatting>
  <conditionalFormatting sqref="AO698">
    <cfRule type="cellIs" dxfId="837" priority="838" stopIfTrue="1" operator="lessThan">
      <formula>0.001</formula>
    </cfRule>
  </conditionalFormatting>
  <conditionalFormatting sqref="AO699">
    <cfRule type="cellIs" dxfId="836" priority="837" stopIfTrue="1" operator="lessThan">
      <formula>0.001</formula>
    </cfRule>
  </conditionalFormatting>
  <conditionalFormatting sqref="AO700">
    <cfRule type="cellIs" dxfId="835" priority="836" stopIfTrue="1" operator="lessThan">
      <formula>0.001</formula>
    </cfRule>
  </conditionalFormatting>
  <conditionalFormatting sqref="AO701:AO703">
    <cfRule type="cellIs" dxfId="834" priority="835" stopIfTrue="1" operator="lessThan">
      <formula>0.001</formula>
    </cfRule>
  </conditionalFormatting>
  <conditionalFormatting sqref="AO704">
    <cfRule type="cellIs" dxfId="833" priority="834" stopIfTrue="1" operator="lessThan">
      <formula>0.001</formula>
    </cfRule>
  </conditionalFormatting>
  <conditionalFormatting sqref="AO705">
    <cfRule type="cellIs" dxfId="832" priority="833" stopIfTrue="1" operator="lessThan">
      <formula>0.001</formula>
    </cfRule>
  </conditionalFormatting>
  <conditionalFormatting sqref="AO707:AO709">
    <cfRule type="cellIs" dxfId="831" priority="832" stopIfTrue="1" operator="lessThan">
      <formula>0.001</formula>
    </cfRule>
  </conditionalFormatting>
  <conditionalFormatting sqref="AO706">
    <cfRule type="cellIs" dxfId="830" priority="831" stopIfTrue="1" operator="lessThan">
      <formula>0.001</formula>
    </cfRule>
  </conditionalFormatting>
  <conditionalFormatting sqref="AO710">
    <cfRule type="cellIs" dxfId="829" priority="830" stopIfTrue="1" operator="lessThan">
      <formula>0.001</formula>
    </cfRule>
  </conditionalFormatting>
  <conditionalFormatting sqref="AO711:AO716">
    <cfRule type="cellIs" dxfId="828" priority="829" stopIfTrue="1" operator="lessThan">
      <formula>0.001</formula>
    </cfRule>
  </conditionalFormatting>
  <conditionalFormatting sqref="AO717">
    <cfRule type="cellIs" dxfId="827" priority="828" stopIfTrue="1" operator="lessThan">
      <formula>0.001</formula>
    </cfRule>
  </conditionalFormatting>
  <conditionalFormatting sqref="AO718:AO720">
    <cfRule type="cellIs" dxfId="826" priority="827" stopIfTrue="1" operator="lessThan">
      <formula>0.001</formula>
    </cfRule>
  </conditionalFormatting>
  <conditionalFormatting sqref="AO721">
    <cfRule type="cellIs" dxfId="825" priority="826" stopIfTrue="1" operator="lessThan">
      <formula>0.001</formula>
    </cfRule>
  </conditionalFormatting>
  <conditionalFormatting sqref="AO722:AO724">
    <cfRule type="cellIs" dxfId="824" priority="825" stopIfTrue="1" operator="lessThan">
      <formula>0.001</formula>
    </cfRule>
  </conditionalFormatting>
  <conditionalFormatting sqref="AO725">
    <cfRule type="cellIs" dxfId="823" priority="824" stopIfTrue="1" operator="lessThan">
      <formula>0.001</formula>
    </cfRule>
  </conditionalFormatting>
  <conditionalFormatting sqref="AO726">
    <cfRule type="cellIs" dxfId="822" priority="823" stopIfTrue="1" operator="lessThan">
      <formula>0.001</formula>
    </cfRule>
  </conditionalFormatting>
  <conditionalFormatting sqref="AO727">
    <cfRule type="cellIs" dxfId="821" priority="822" stopIfTrue="1" operator="lessThan">
      <formula>0.001</formula>
    </cfRule>
  </conditionalFormatting>
  <conditionalFormatting sqref="AO728:AO730">
    <cfRule type="cellIs" dxfId="820" priority="821" stopIfTrue="1" operator="lessThan">
      <formula>0.001</formula>
    </cfRule>
  </conditionalFormatting>
  <conditionalFormatting sqref="AO731">
    <cfRule type="cellIs" dxfId="819" priority="820" stopIfTrue="1" operator="lessThan">
      <formula>0.001</formula>
    </cfRule>
  </conditionalFormatting>
  <conditionalFormatting sqref="AO732">
    <cfRule type="cellIs" dxfId="818" priority="819" stopIfTrue="1" operator="lessThan">
      <formula>0.001</formula>
    </cfRule>
  </conditionalFormatting>
  <conditionalFormatting sqref="AO733">
    <cfRule type="cellIs" dxfId="817" priority="818" stopIfTrue="1" operator="lessThan">
      <formula>0.001</formula>
    </cfRule>
  </conditionalFormatting>
  <conditionalFormatting sqref="AO734:AO735">
    <cfRule type="cellIs" dxfId="816" priority="817" stopIfTrue="1" operator="lessThan">
      <formula>0.001</formula>
    </cfRule>
  </conditionalFormatting>
  <conditionalFormatting sqref="AO736">
    <cfRule type="cellIs" dxfId="815" priority="816" stopIfTrue="1" operator="lessThan">
      <formula>0.001</formula>
    </cfRule>
  </conditionalFormatting>
  <conditionalFormatting sqref="AO737:AO739">
    <cfRule type="cellIs" dxfId="814" priority="815" stopIfTrue="1" operator="lessThan">
      <formula>0.001</formula>
    </cfRule>
  </conditionalFormatting>
  <conditionalFormatting sqref="AP681:AP691 AP694:AP695 AP698:AP739">
    <cfRule type="cellIs" dxfId="813" priority="814" stopIfTrue="1" operator="lessThan">
      <formula>0.001</formula>
    </cfRule>
  </conditionalFormatting>
  <conditionalFormatting sqref="AP681">
    <cfRule type="cellIs" dxfId="812" priority="813" stopIfTrue="1" operator="lessThan">
      <formula>0.001</formula>
    </cfRule>
  </conditionalFormatting>
  <conditionalFormatting sqref="AP682">
    <cfRule type="cellIs" dxfId="811" priority="812" stopIfTrue="1" operator="lessThan">
      <formula>0.001</formula>
    </cfRule>
  </conditionalFormatting>
  <conditionalFormatting sqref="AP683:AP690">
    <cfRule type="cellIs" dxfId="810" priority="811" stopIfTrue="1" operator="lessThan">
      <formula>0.001</formula>
    </cfRule>
  </conditionalFormatting>
  <conditionalFormatting sqref="AP691">
    <cfRule type="cellIs" dxfId="809" priority="810" stopIfTrue="1" operator="lessThan">
      <formula>0.001</formula>
    </cfRule>
  </conditionalFormatting>
  <conditionalFormatting sqref="AP694">
    <cfRule type="cellIs" dxfId="808" priority="809" stopIfTrue="1" operator="lessThan">
      <formula>0.001</formula>
    </cfRule>
  </conditionalFormatting>
  <conditionalFormatting sqref="AP695">
    <cfRule type="cellIs" dxfId="807" priority="808" stopIfTrue="1" operator="lessThan">
      <formula>0.001</formula>
    </cfRule>
  </conditionalFormatting>
  <conditionalFormatting sqref="AP698">
    <cfRule type="cellIs" dxfId="806" priority="807" stopIfTrue="1" operator="lessThan">
      <formula>0.001</formula>
    </cfRule>
  </conditionalFormatting>
  <conditionalFormatting sqref="AP699">
    <cfRule type="cellIs" dxfId="805" priority="806" stopIfTrue="1" operator="lessThan">
      <formula>0.001</formula>
    </cfRule>
  </conditionalFormatting>
  <conditionalFormatting sqref="AP700">
    <cfRule type="cellIs" dxfId="804" priority="805" stopIfTrue="1" operator="lessThan">
      <formula>0.001</formula>
    </cfRule>
  </conditionalFormatting>
  <conditionalFormatting sqref="AP701:AP703">
    <cfRule type="cellIs" dxfId="803" priority="804" stopIfTrue="1" operator="lessThan">
      <formula>0.001</formula>
    </cfRule>
  </conditionalFormatting>
  <conditionalFormatting sqref="AP704">
    <cfRule type="cellIs" dxfId="802" priority="803" stopIfTrue="1" operator="lessThan">
      <formula>0.001</formula>
    </cfRule>
  </conditionalFormatting>
  <conditionalFormatting sqref="AP705">
    <cfRule type="cellIs" dxfId="801" priority="802" stopIfTrue="1" operator="lessThan">
      <formula>0.001</formula>
    </cfRule>
  </conditionalFormatting>
  <conditionalFormatting sqref="AP707:AP709">
    <cfRule type="cellIs" dxfId="800" priority="801" stopIfTrue="1" operator="lessThan">
      <formula>0.001</formula>
    </cfRule>
  </conditionalFormatting>
  <conditionalFormatting sqref="AP706">
    <cfRule type="cellIs" dxfId="799" priority="800" stopIfTrue="1" operator="lessThan">
      <formula>0.001</formula>
    </cfRule>
  </conditionalFormatting>
  <conditionalFormatting sqref="AP710">
    <cfRule type="cellIs" dxfId="798" priority="799" stopIfTrue="1" operator="lessThan">
      <formula>0.001</formula>
    </cfRule>
  </conditionalFormatting>
  <conditionalFormatting sqref="AP711:AP716">
    <cfRule type="cellIs" dxfId="797" priority="798" stopIfTrue="1" operator="lessThan">
      <formula>0.001</formula>
    </cfRule>
  </conditionalFormatting>
  <conditionalFormatting sqref="AP717">
    <cfRule type="cellIs" dxfId="796" priority="797" stopIfTrue="1" operator="lessThan">
      <formula>0.001</formula>
    </cfRule>
  </conditionalFormatting>
  <conditionalFormatting sqref="AP718:AP720">
    <cfRule type="cellIs" dxfId="795" priority="796" stopIfTrue="1" operator="lessThan">
      <formula>0.001</formula>
    </cfRule>
  </conditionalFormatting>
  <conditionalFormatting sqref="AP721">
    <cfRule type="cellIs" dxfId="794" priority="795" stopIfTrue="1" operator="lessThan">
      <formula>0.001</formula>
    </cfRule>
  </conditionalFormatting>
  <conditionalFormatting sqref="AP722:AP724">
    <cfRule type="cellIs" dxfId="793" priority="794" stopIfTrue="1" operator="lessThan">
      <formula>0.001</formula>
    </cfRule>
  </conditionalFormatting>
  <conditionalFormatting sqref="AP725">
    <cfRule type="cellIs" dxfId="792" priority="793" stopIfTrue="1" operator="lessThan">
      <formula>0.001</formula>
    </cfRule>
  </conditionalFormatting>
  <conditionalFormatting sqref="AP726">
    <cfRule type="cellIs" dxfId="791" priority="792" stopIfTrue="1" operator="lessThan">
      <formula>0.001</formula>
    </cfRule>
  </conditionalFormatting>
  <conditionalFormatting sqref="AP727">
    <cfRule type="cellIs" dxfId="790" priority="791" stopIfTrue="1" operator="lessThan">
      <formula>0.001</formula>
    </cfRule>
  </conditionalFormatting>
  <conditionalFormatting sqref="AP728:AP730">
    <cfRule type="cellIs" dxfId="789" priority="790" stopIfTrue="1" operator="lessThan">
      <formula>0.001</formula>
    </cfRule>
  </conditionalFormatting>
  <conditionalFormatting sqref="AP731">
    <cfRule type="cellIs" dxfId="788" priority="789" stopIfTrue="1" operator="lessThan">
      <formula>0.001</formula>
    </cfRule>
  </conditionalFormatting>
  <conditionalFormatting sqref="AP732">
    <cfRule type="cellIs" dxfId="787" priority="788" stopIfTrue="1" operator="lessThan">
      <formula>0.001</formula>
    </cfRule>
  </conditionalFormatting>
  <conditionalFormatting sqref="AP733">
    <cfRule type="cellIs" dxfId="786" priority="787" stopIfTrue="1" operator="lessThan">
      <formula>0.001</formula>
    </cfRule>
  </conditionalFormatting>
  <conditionalFormatting sqref="AP734:AP735">
    <cfRule type="cellIs" dxfId="785" priority="786" stopIfTrue="1" operator="lessThan">
      <formula>0.001</formula>
    </cfRule>
  </conditionalFormatting>
  <conditionalFormatting sqref="AP736">
    <cfRule type="cellIs" dxfId="784" priority="785" stopIfTrue="1" operator="lessThan">
      <formula>0.001</formula>
    </cfRule>
  </conditionalFormatting>
  <conditionalFormatting sqref="AP737:AP739">
    <cfRule type="cellIs" dxfId="783" priority="784" stopIfTrue="1" operator="lessThan">
      <formula>0.001</formula>
    </cfRule>
  </conditionalFormatting>
  <conditionalFormatting sqref="AQ681:AQ691 AQ694:AQ695 AQ698:AQ739">
    <cfRule type="cellIs" dxfId="782" priority="783" stopIfTrue="1" operator="lessThan">
      <formula>0.001</formula>
    </cfRule>
  </conditionalFormatting>
  <conditionalFormatting sqref="AQ681">
    <cfRule type="cellIs" dxfId="781" priority="782" stopIfTrue="1" operator="lessThan">
      <formula>0.001</formula>
    </cfRule>
  </conditionalFormatting>
  <conditionalFormatting sqref="AQ682">
    <cfRule type="cellIs" dxfId="780" priority="781" stopIfTrue="1" operator="lessThan">
      <formula>0.001</formula>
    </cfRule>
  </conditionalFormatting>
  <conditionalFormatting sqref="AQ683:AQ690">
    <cfRule type="cellIs" dxfId="779" priority="780" stopIfTrue="1" operator="lessThan">
      <formula>0.001</formula>
    </cfRule>
  </conditionalFormatting>
  <conditionalFormatting sqref="AQ691">
    <cfRule type="cellIs" dxfId="778" priority="779" stopIfTrue="1" operator="lessThan">
      <formula>0.001</formula>
    </cfRule>
  </conditionalFormatting>
  <conditionalFormatting sqref="AQ694">
    <cfRule type="cellIs" dxfId="777" priority="778" stopIfTrue="1" operator="lessThan">
      <formula>0.001</formula>
    </cfRule>
  </conditionalFormatting>
  <conditionalFormatting sqref="AQ695">
    <cfRule type="cellIs" dxfId="776" priority="777" stopIfTrue="1" operator="lessThan">
      <formula>0.001</formula>
    </cfRule>
  </conditionalFormatting>
  <conditionalFormatting sqref="AQ698">
    <cfRule type="cellIs" dxfId="775" priority="776" stopIfTrue="1" operator="lessThan">
      <formula>0.001</formula>
    </cfRule>
  </conditionalFormatting>
  <conditionalFormatting sqref="AQ699">
    <cfRule type="cellIs" dxfId="774" priority="775" stopIfTrue="1" operator="lessThan">
      <formula>0.001</formula>
    </cfRule>
  </conditionalFormatting>
  <conditionalFormatting sqref="AQ700">
    <cfRule type="cellIs" dxfId="773" priority="774" stopIfTrue="1" operator="lessThan">
      <formula>0.001</formula>
    </cfRule>
  </conditionalFormatting>
  <conditionalFormatting sqref="AQ701:AQ703">
    <cfRule type="cellIs" dxfId="772" priority="773" stopIfTrue="1" operator="lessThan">
      <formula>0.001</formula>
    </cfRule>
  </conditionalFormatting>
  <conditionalFormatting sqref="AQ704">
    <cfRule type="cellIs" dxfId="771" priority="772" stopIfTrue="1" operator="lessThan">
      <formula>0.001</formula>
    </cfRule>
  </conditionalFormatting>
  <conditionalFormatting sqref="AQ705">
    <cfRule type="cellIs" dxfId="770" priority="771" stopIfTrue="1" operator="lessThan">
      <formula>0.001</formula>
    </cfRule>
  </conditionalFormatting>
  <conditionalFormatting sqref="AQ707:AQ709">
    <cfRule type="cellIs" dxfId="769" priority="770" stopIfTrue="1" operator="lessThan">
      <formula>0.001</formula>
    </cfRule>
  </conditionalFormatting>
  <conditionalFormatting sqref="AQ706">
    <cfRule type="cellIs" dxfId="768" priority="769" stopIfTrue="1" operator="lessThan">
      <formula>0.001</formula>
    </cfRule>
  </conditionalFormatting>
  <conditionalFormatting sqref="AQ710">
    <cfRule type="cellIs" dxfId="767" priority="768" stopIfTrue="1" operator="lessThan">
      <formula>0.001</formula>
    </cfRule>
  </conditionalFormatting>
  <conditionalFormatting sqref="AQ711:AQ716">
    <cfRule type="cellIs" dxfId="766" priority="767" stopIfTrue="1" operator="lessThan">
      <formula>0.001</formula>
    </cfRule>
  </conditionalFormatting>
  <conditionalFormatting sqref="AQ717">
    <cfRule type="cellIs" dxfId="765" priority="766" stopIfTrue="1" operator="lessThan">
      <formula>0.001</formula>
    </cfRule>
  </conditionalFormatting>
  <conditionalFormatting sqref="AQ718:AQ720">
    <cfRule type="cellIs" dxfId="764" priority="765" stopIfTrue="1" operator="lessThan">
      <formula>0.001</formula>
    </cfRule>
  </conditionalFormatting>
  <conditionalFormatting sqref="AQ721">
    <cfRule type="cellIs" dxfId="763" priority="764" stopIfTrue="1" operator="lessThan">
      <formula>0.001</formula>
    </cfRule>
  </conditionalFormatting>
  <conditionalFormatting sqref="AQ722:AQ724">
    <cfRule type="cellIs" dxfId="762" priority="763" stopIfTrue="1" operator="lessThan">
      <formula>0.001</formula>
    </cfRule>
  </conditionalFormatting>
  <conditionalFormatting sqref="AQ725">
    <cfRule type="cellIs" dxfId="761" priority="762" stopIfTrue="1" operator="lessThan">
      <formula>0.001</formula>
    </cfRule>
  </conditionalFormatting>
  <conditionalFormatting sqref="AQ726">
    <cfRule type="cellIs" dxfId="760" priority="761" stopIfTrue="1" operator="lessThan">
      <formula>0.001</formula>
    </cfRule>
  </conditionalFormatting>
  <conditionalFormatting sqref="AQ727">
    <cfRule type="cellIs" dxfId="759" priority="760" stopIfTrue="1" operator="lessThan">
      <formula>0.001</formula>
    </cfRule>
  </conditionalFormatting>
  <conditionalFormatting sqref="AQ728:AQ730">
    <cfRule type="cellIs" dxfId="758" priority="759" stopIfTrue="1" operator="lessThan">
      <formula>0.001</formula>
    </cfRule>
  </conditionalFormatting>
  <conditionalFormatting sqref="AQ731">
    <cfRule type="cellIs" dxfId="757" priority="758" stopIfTrue="1" operator="lessThan">
      <formula>0.001</formula>
    </cfRule>
  </conditionalFormatting>
  <conditionalFormatting sqref="AQ732">
    <cfRule type="cellIs" dxfId="756" priority="757" stopIfTrue="1" operator="lessThan">
      <formula>0.001</formula>
    </cfRule>
  </conditionalFormatting>
  <conditionalFormatting sqref="AQ733">
    <cfRule type="cellIs" dxfId="755" priority="756" stopIfTrue="1" operator="lessThan">
      <formula>0.001</formula>
    </cfRule>
  </conditionalFormatting>
  <conditionalFormatting sqref="AQ734:AQ735">
    <cfRule type="cellIs" dxfId="754" priority="755" stopIfTrue="1" operator="lessThan">
      <formula>0.001</formula>
    </cfRule>
  </conditionalFormatting>
  <conditionalFormatting sqref="AQ736">
    <cfRule type="cellIs" dxfId="753" priority="754" stopIfTrue="1" operator="lessThan">
      <formula>0.001</formula>
    </cfRule>
  </conditionalFormatting>
  <conditionalFormatting sqref="AQ737:AQ739">
    <cfRule type="cellIs" dxfId="752" priority="753" stopIfTrue="1" operator="lessThan">
      <formula>0.001</formula>
    </cfRule>
  </conditionalFormatting>
  <conditionalFormatting sqref="AO681:AQ691 AO694:AQ695 AO698:AQ739">
    <cfRule type="cellIs" dxfId="751" priority="752" stopIfTrue="1" operator="lessThan">
      <formula>0.001</formula>
    </cfRule>
  </conditionalFormatting>
  <conditionalFormatting sqref="AO681:AO691 AO694:AO695 AO698:AO739">
    <cfRule type="cellIs" dxfId="750" priority="751" stopIfTrue="1" operator="lessThan">
      <formula>0.001</formula>
    </cfRule>
  </conditionalFormatting>
  <conditionalFormatting sqref="AO681">
    <cfRule type="cellIs" dxfId="749" priority="750" stopIfTrue="1" operator="lessThan">
      <formula>0.001</formula>
    </cfRule>
  </conditionalFormatting>
  <conditionalFormatting sqref="AO682">
    <cfRule type="cellIs" dxfId="748" priority="749" stopIfTrue="1" operator="lessThan">
      <formula>0.001</formula>
    </cfRule>
  </conditionalFormatting>
  <conditionalFormatting sqref="AO683:AO690">
    <cfRule type="cellIs" dxfId="747" priority="748" stopIfTrue="1" operator="lessThan">
      <formula>0.001</formula>
    </cfRule>
  </conditionalFormatting>
  <conditionalFormatting sqref="AO691">
    <cfRule type="cellIs" dxfId="746" priority="747" stopIfTrue="1" operator="lessThan">
      <formula>0.001</formula>
    </cfRule>
  </conditionalFormatting>
  <conditionalFormatting sqref="AO694">
    <cfRule type="cellIs" dxfId="745" priority="746" stopIfTrue="1" operator="lessThan">
      <formula>0.001</formula>
    </cfRule>
  </conditionalFormatting>
  <conditionalFormatting sqref="AO695">
    <cfRule type="cellIs" dxfId="744" priority="745" stopIfTrue="1" operator="lessThan">
      <formula>0.001</formula>
    </cfRule>
  </conditionalFormatting>
  <conditionalFormatting sqref="AO698">
    <cfRule type="cellIs" dxfId="743" priority="744" stopIfTrue="1" operator="lessThan">
      <formula>0.001</formula>
    </cfRule>
  </conditionalFormatting>
  <conditionalFormatting sqref="AO699">
    <cfRule type="cellIs" dxfId="742" priority="743" stopIfTrue="1" operator="lessThan">
      <formula>0.001</formula>
    </cfRule>
  </conditionalFormatting>
  <conditionalFormatting sqref="AO700">
    <cfRule type="cellIs" dxfId="741" priority="742" stopIfTrue="1" operator="lessThan">
      <formula>0.001</formula>
    </cfRule>
  </conditionalFormatting>
  <conditionalFormatting sqref="AO701:AO703">
    <cfRule type="cellIs" dxfId="740" priority="741" stopIfTrue="1" operator="lessThan">
      <formula>0.001</formula>
    </cfRule>
  </conditionalFormatting>
  <conditionalFormatting sqref="AO704">
    <cfRule type="cellIs" dxfId="739" priority="740" stopIfTrue="1" operator="lessThan">
      <formula>0.001</formula>
    </cfRule>
  </conditionalFormatting>
  <conditionalFormatting sqref="AO705">
    <cfRule type="cellIs" dxfId="738" priority="739" stopIfTrue="1" operator="lessThan">
      <formula>0.001</formula>
    </cfRule>
  </conditionalFormatting>
  <conditionalFormatting sqref="AO707:AO709">
    <cfRule type="cellIs" dxfId="737" priority="738" stopIfTrue="1" operator="lessThan">
      <formula>0.001</formula>
    </cfRule>
  </conditionalFormatting>
  <conditionalFormatting sqref="AO706">
    <cfRule type="cellIs" dxfId="736" priority="737" stopIfTrue="1" operator="lessThan">
      <formula>0.001</formula>
    </cfRule>
  </conditionalFormatting>
  <conditionalFormatting sqref="AO710">
    <cfRule type="cellIs" dxfId="735" priority="736" stopIfTrue="1" operator="lessThan">
      <formula>0.001</formula>
    </cfRule>
  </conditionalFormatting>
  <conditionalFormatting sqref="AO711:AO716">
    <cfRule type="cellIs" dxfId="734" priority="735" stopIfTrue="1" operator="lessThan">
      <formula>0.001</formula>
    </cfRule>
  </conditionalFormatting>
  <conditionalFormatting sqref="AO717">
    <cfRule type="cellIs" dxfId="733" priority="734" stopIfTrue="1" operator="lessThan">
      <formula>0.001</formula>
    </cfRule>
  </conditionalFormatting>
  <conditionalFormatting sqref="AO718:AO720">
    <cfRule type="cellIs" dxfId="732" priority="733" stopIfTrue="1" operator="lessThan">
      <formula>0.001</formula>
    </cfRule>
  </conditionalFormatting>
  <conditionalFormatting sqref="AO721">
    <cfRule type="cellIs" dxfId="731" priority="732" stopIfTrue="1" operator="lessThan">
      <formula>0.001</formula>
    </cfRule>
  </conditionalFormatting>
  <conditionalFormatting sqref="AO722:AO724">
    <cfRule type="cellIs" dxfId="730" priority="731" stopIfTrue="1" operator="lessThan">
      <formula>0.001</formula>
    </cfRule>
  </conditionalFormatting>
  <conditionalFormatting sqref="AO725">
    <cfRule type="cellIs" dxfId="729" priority="730" stopIfTrue="1" operator="lessThan">
      <formula>0.001</formula>
    </cfRule>
  </conditionalFormatting>
  <conditionalFormatting sqref="AO726">
    <cfRule type="cellIs" dxfId="728" priority="729" stopIfTrue="1" operator="lessThan">
      <formula>0.001</formula>
    </cfRule>
  </conditionalFormatting>
  <conditionalFormatting sqref="AO727">
    <cfRule type="cellIs" dxfId="727" priority="728" stopIfTrue="1" operator="lessThan">
      <formula>0.001</formula>
    </cfRule>
  </conditionalFormatting>
  <conditionalFormatting sqref="AO728:AO730">
    <cfRule type="cellIs" dxfId="726" priority="727" stopIfTrue="1" operator="lessThan">
      <formula>0.001</formula>
    </cfRule>
  </conditionalFormatting>
  <conditionalFormatting sqref="AO731">
    <cfRule type="cellIs" dxfId="725" priority="726" stopIfTrue="1" operator="lessThan">
      <formula>0.001</formula>
    </cfRule>
  </conditionalFormatting>
  <conditionalFormatting sqref="AO732">
    <cfRule type="cellIs" dxfId="724" priority="725" stopIfTrue="1" operator="lessThan">
      <formula>0.001</formula>
    </cfRule>
  </conditionalFormatting>
  <conditionalFormatting sqref="AO733">
    <cfRule type="cellIs" dxfId="723" priority="724" stopIfTrue="1" operator="lessThan">
      <formula>0.001</formula>
    </cfRule>
  </conditionalFormatting>
  <conditionalFormatting sqref="AO734:AO735">
    <cfRule type="cellIs" dxfId="722" priority="723" stopIfTrue="1" operator="lessThan">
      <formula>0.001</formula>
    </cfRule>
  </conditionalFormatting>
  <conditionalFormatting sqref="AO736">
    <cfRule type="cellIs" dxfId="721" priority="722" stopIfTrue="1" operator="lessThan">
      <formula>0.001</formula>
    </cfRule>
  </conditionalFormatting>
  <conditionalFormatting sqref="AO737:AO739">
    <cfRule type="cellIs" dxfId="720" priority="721" stopIfTrue="1" operator="lessThan">
      <formula>0.001</formula>
    </cfRule>
  </conditionalFormatting>
  <conditionalFormatting sqref="AP681:AP691 AP694:AP695 AP698:AP739">
    <cfRule type="cellIs" dxfId="719" priority="720" stopIfTrue="1" operator="lessThan">
      <formula>0.001</formula>
    </cfRule>
  </conditionalFormatting>
  <conditionalFormatting sqref="AP681">
    <cfRule type="cellIs" dxfId="718" priority="719" stopIfTrue="1" operator="lessThan">
      <formula>0.001</formula>
    </cfRule>
  </conditionalFormatting>
  <conditionalFormatting sqref="AP682">
    <cfRule type="cellIs" dxfId="717" priority="718" stopIfTrue="1" operator="lessThan">
      <formula>0.001</formula>
    </cfRule>
  </conditionalFormatting>
  <conditionalFormatting sqref="AP683:AP690">
    <cfRule type="cellIs" dxfId="716" priority="717" stopIfTrue="1" operator="lessThan">
      <formula>0.001</formula>
    </cfRule>
  </conditionalFormatting>
  <conditionalFormatting sqref="AP691">
    <cfRule type="cellIs" dxfId="715" priority="716" stopIfTrue="1" operator="lessThan">
      <formula>0.001</formula>
    </cfRule>
  </conditionalFormatting>
  <conditionalFormatting sqref="AP694">
    <cfRule type="cellIs" dxfId="714" priority="715" stopIfTrue="1" operator="lessThan">
      <formula>0.001</formula>
    </cfRule>
  </conditionalFormatting>
  <conditionalFormatting sqref="AP695">
    <cfRule type="cellIs" dxfId="713" priority="714" stopIfTrue="1" operator="lessThan">
      <formula>0.001</formula>
    </cfRule>
  </conditionalFormatting>
  <conditionalFormatting sqref="AP698">
    <cfRule type="cellIs" dxfId="712" priority="713" stopIfTrue="1" operator="lessThan">
      <formula>0.001</formula>
    </cfRule>
  </conditionalFormatting>
  <conditionalFormatting sqref="AP699">
    <cfRule type="cellIs" dxfId="711" priority="712" stopIfTrue="1" operator="lessThan">
      <formula>0.001</formula>
    </cfRule>
  </conditionalFormatting>
  <conditionalFormatting sqref="AP700">
    <cfRule type="cellIs" dxfId="710" priority="711" stopIfTrue="1" operator="lessThan">
      <formula>0.001</formula>
    </cfRule>
  </conditionalFormatting>
  <conditionalFormatting sqref="AP701:AP703">
    <cfRule type="cellIs" dxfId="709" priority="710" stopIfTrue="1" operator="lessThan">
      <formula>0.001</formula>
    </cfRule>
  </conditionalFormatting>
  <conditionalFormatting sqref="AP704">
    <cfRule type="cellIs" dxfId="708" priority="709" stopIfTrue="1" operator="lessThan">
      <formula>0.001</formula>
    </cfRule>
  </conditionalFormatting>
  <conditionalFormatting sqref="AP705">
    <cfRule type="cellIs" dxfId="707" priority="708" stopIfTrue="1" operator="lessThan">
      <formula>0.001</formula>
    </cfRule>
  </conditionalFormatting>
  <conditionalFormatting sqref="AP707:AP709">
    <cfRule type="cellIs" dxfId="706" priority="707" stopIfTrue="1" operator="lessThan">
      <formula>0.001</formula>
    </cfRule>
  </conditionalFormatting>
  <conditionalFormatting sqref="AP706">
    <cfRule type="cellIs" dxfId="705" priority="706" stopIfTrue="1" operator="lessThan">
      <formula>0.001</formula>
    </cfRule>
  </conditionalFormatting>
  <conditionalFormatting sqref="AP710">
    <cfRule type="cellIs" dxfId="704" priority="705" stopIfTrue="1" operator="lessThan">
      <formula>0.001</formula>
    </cfRule>
  </conditionalFormatting>
  <conditionalFormatting sqref="AP711:AP716">
    <cfRule type="cellIs" dxfId="703" priority="704" stopIfTrue="1" operator="lessThan">
      <formula>0.001</formula>
    </cfRule>
  </conditionalFormatting>
  <conditionalFormatting sqref="AP717">
    <cfRule type="cellIs" dxfId="702" priority="703" stopIfTrue="1" operator="lessThan">
      <formula>0.001</formula>
    </cfRule>
  </conditionalFormatting>
  <conditionalFormatting sqref="AP718:AP720">
    <cfRule type="cellIs" dxfId="701" priority="702" stopIfTrue="1" operator="lessThan">
      <formula>0.001</formula>
    </cfRule>
  </conditionalFormatting>
  <conditionalFormatting sqref="AP721">
    <cfRule type="cellIs" dxfId="700" priority="701" stopIfTrue="1" operator="lessThan">
      <formula>0.001</formula>
    </cfRule>
  </conditionalFormatting>
  <conditionalFormatting sqref="AP722:AP724">
    <cfRule type="cellIs" dxfId="699" priority="700" stopIfTrue="1" operator="lessThan">
      <formula>0.001</formula>
    </cfRule>
  </conditionalFormatting>
  <conditionalFormatting sqref="AP725">
    <cfRule type="cellIs" dxfId="698" priority="699" stopIfTrue="1" operator="lessThan">
      <formula>0.001</formula>
    </cfRule>
  </conditionalFormatting>
  <conditionalFormatting sqref="AP726">
    <cfRule type="cellIs" dxfId="697" priority="698" stopIfTrue="1" operator="lessThan">
      <formula>0.001</formula>
    </cfRule>
  </conditionalFormatting>
  <conditionalFormatting sqref="AP727">
    <cfRule type="cellIs" dxfId="696" priority="697" stopIfTrue="1" operator="lessThan">
      <formula>0.001</formula>
    </cfRule>
  </conditionalFormatting>
  <conditionalFormatting sqref="AP728:AP730">
    <cfRule type="cellIs" dxfId="695" priority="696" stopIfTrue="1" operator="lessThan">
      <formula>0.001</formula>
    </cfRule>
  </conditionalFormatting>
  <conditionalFormatting sqref="AP731">
    <cfRule type="cellIs" dxfId="694" priority="695" stopIfTrue="1" operator="lessThan">
      <formula>0.001</formula>
    </cfRule>
  </conditionalFormatting>
  <conditionalFormatting sqref="AP732">
    <cfRule type="cellIs" dxfId="693" priority="694" stopIfTrue="1" operator="lessThan">
      <formula>0.001</formula>
    </cfRule>
  </conditionalFormatting>
  <conditionalFormatting sqref="AP733">
    <cfRule type="cellIs" dxfId="692" priority="693" stopIfTrue="1" operator="lessThan">
      <formula>0.001</formula>
    </cfRule>
  </conditionalFormatting>
  <conditionalFormatting sqref="AP734:AP735">
    <cfRule type="cellIs" dxfId="691" priority="692" stopIfTrue="1" operator="lessThan">
      <formula>0.001</formula>
    </cfRule>
  </conditionalFormatting>
  <conditionalFormatting sqref="AP736">
    <cfRule type="cellIs" dxfId="690" priority="691" stopIfTrue="1" operator="lessThan">
      <formula>0.001</formula>
    </cfRule>
  </conditionalFormatting>
  <conditionalFormatting sqref="AP737:AP739">
    <cfRule type="cellIs" dxfId="689" priority="690" stopIfTrue="1" operator="lessThan">
      <formula>0.001</formula>
    </cfRule>
  </conditionalFormatting>
  <conditionalFormatting sqref="AQ681:AQ691 AQ694:AQ695 AQ698:AQ739">
    <cfRule type="cellIs" dxfId="688" priority="689" stopIfTrue="1" operator="lessThan">
      <formula>0.001</formula>
    </cfRule>
  </conditionalFormatting>
  <conditionalFormatting sqref="AQ681">
    <cfRule type="cellIs" dxfId="687" priority="688" stopIfTrue="1" operator="lessThan">
      <formula>0.001</formula>
    </cfRule>
  </conditionalFormatting>
  <conditionalFormatting sqref="AQ682">
    <cfRule type="cellIs" dxfId="686" priority="687" stopIfTrue="1" operator="lessThan">
      <formula>0.001</formula>
    </cfRule>
  </conditionalFormatting>
  <conditionalFormatting sqref="AQ683:AQ690">
    <cfRule type="cellIs" dxfId="685" priority="686" stopIfTrue="1" operator="lessThan">
      <formula>0.001</formula>
    </cfRule>
  </conditionalFormatting>
  <conditionalFormatting sqref="AQ691">
    <cfRule type="cellIs" dxfId="684" priority="685" stopIfTrue="1" operator="lessThan">
      <formula>0.001</formula>
    </cfRule>
  </conditionalFormatting>
  <conditionalFormatting sqref="AQ694">
    <cfRule type="cellIs" dxfId="683" priority="684" stopIfTrue="1" operator="lessThan">
      <formula>0.001</formula>
    </cfRule>
  </conditionalFormatting>
  <conditionalFormatting sqref="AQ695">
    <cfRule type="cellIs" dxfId="682" priority="683" stopIfTrue="1" operator="lessThan">
      <formula>0.001</formula>
    </cfRule>
  </conditionalFormatting>
  <conditionalFormatting sqref="AQ698">
    <cfRule type="cellIs" dxfId="681" priority="682" stopIfTrue="1" operator="lessThan">
      <formula>0.001</formula>
    </cfRule>
  </conditionalFormatting>
  <conditionalFormatting sqref="AQ699">
    <cfRule type="cellIs" dxfId="680" priority="681" stopIfTrue="1" operator="lessThan">
      <formula>0.001</formula>
    </cfRule>
  </conditionalFormatting>
  <conditionalFormatting sqref="AQ700">
    <cfRule type="cellIs" dxfId="679" priority="680" stopIfTrue="1" operator="lessThan">
      <formula>0.001</formula>
    </cfRule>
  </conditionalFormatting>
  <conditionalFormatting sqref="AQ701:AQ703">
    <cfRule type="cellIs" dxfId="678" priority="679" stopIfTrue="1" operator="lessThan">
      <formula>0.001</formula>
    </cfRule>
  </conditionalFormatting>
  <conditionalFormatting sqref="AQ704">
    <cfRule type="cellIs" dxfId="677" priority="678" stopIfTrue="1" operator="lessThan">
      <formula>0.001</formula>
    </cfRule>
  </conditionalFormatting>
  <conditionalFormatting sqref="AQ705">
    <cfRule type="cellIs" dxfId="676" priority="677" stopIfTrue="1" operator="lessThan">
      <formula>0.001</formula>
    </cfRule>
  </conditionalFormatting>
  <conditionalFormatting sqref="AQ707:AQ709">
    <cfRule type="cellIs" dxfId="675" priority="676" stopIfTrue="1" operator="lessThan">
      <formula>0.001</formula>
    </cfRule>
  </conditionalFormatting>
  <conditionalFormatting sqref="AQ706">
    <cfRule type="cellIs" dxfId="674" priority="675" stopIfTrue="1" operator="lessThan">
      <formula>0.001</formula>
    </cfRule>
  </conditionalFormatting>
  <conditionalFormatting sqref="AQ710">
    <cfRule type="cellIs" dxfId="673" priority="674" stopIfTrue="1" operator="lessThan">
      <formula>0.001</formula>
    </cfRule>
  </conditionalFormatting>
  <conditionalFormatting sqref="AQ711:AQ716">
    <cfRule type="cellIs" dxfId="672" priority="673" stopIfTrue="1" operator="lessThan">
      <formula>0.001</formula>
    </cfRule>
  </conditionalFormatting>
  <conditionalFormatting sqref="AQ717">
    <cfRule type="cellIs" dxfId="671" priority="672" stopIfTrue="1" operator="lessThan">
      <formula>0.001</formula>
    </cfRule>
  </conditionalFormatting>
  <conditionalFormatting sqref="AQ718:AQ720">
    <cfRule type="cellIs" dxfId="670" priority="671" stopIfTrue="1" operator="lessThan">
      <formula>0.001</formula>
    </cfRule>
  </conditionalFormatting>
  <conditionalFormatting sqref="AQ721">
    <cfRule type="cellIs" dxfId="669" priority="670" stopIfTrue="1" operator="lessThan">
      <formula>0.001</formula>
    </cfRule>
  </conditionalFormatting>
  <conditionalFormatting sqref="AQ722:AQ724">
    <cfRule type="cellIs" dxfId="668" priority="669" stopIfTrue="1" operator="lessThan">
      <formula>0.001</formula>
    </cfRule>
  </conditionalFormatting>
  <conditionalFormatting sqref="AQ725">
    <cfRule type="cellIs" dxfId="667" priority="668" stopIfTrue="1" operator="lessThan">
      <formula>0.001</formula>
    </cfRule>
  </conditionalFormatting>
  <conditionalFormatting sqref="AQ726">
    <cfRule type="cellIs" dxfId="666" priority="667" stopIfTrue="1" operator="lessThan">
      <formula>0.001</formula>
    </cfRule>
  </conditionalFormatting>
  <conditionalFormatting sqref="AQ727">
    <cfRule type="cellIs" dxfId="665" priority="666" stopIfTrue="1" operator="lessThan">
      <formula>0.001</formula>
    </cfRule>
  </conditionalFormatting>
  <conditionalFormatting sqref="AQ728:AQ730">
    <cfRule type="cellIs" dxfId="664" priority="665" stopIfTrue="1" operator="lessThan">
      <formula>0.001</formula>
    </cfRule>
  </conditionalFormatting>
  <conditionalFormatting sqref="AQ731">
    <cfRule type="cellIs" dxfId="663" priority="664" stopIfTrue="1" operator="lessThan">
      <formula>0.001</formula>
    </cfRule>
  </conditionalFormatting>
  <conditionalFormatting sqref="AQ732">
    <cfRule type="cellIs" dxfId="662" priority="663" stopIfTrue="1" operator="lessThan">
      <formula>0.001</formula>
    </cfRule>
  </conditionalFormatting>
  <conditionalFormatting sqref="AQ733">
    <cfRule type="cellIs" dxfId="661" priority="662" stopIfTrue="1" operator="lessThan">
      <formula>0.001</formula>
    </cfRule>
  </conditionalFormatting>
  <conditionalFormatting sqref="AQ734:AQ735">
    <cfRule type="cellIs" dxfId="660" priority="661" stopIfTrue="1" operator="lessThan">
      <formula>0.001</formula>
    </cfRule>
  </conditionalFormatting>
  <conditionalFormatting sqref="AQ736">
    <cfRule type="cellIs" dxfId="659" priority="660" stopIfTrue="1" operator="lessThan">
      <formula>0.001</formula>
    </cfRule>
  </conditionalFormatting>
  <conditionalFormatting sqref="AQ737:AQ739">
    <cfRule type="cellIs" dxfId="658" priority="659" stopIfTrue="1" operator="lessThan">
      <formula>0.001</formula>
    </cfRule>
  </conditionalFormatting>
  <conditionalFormatting sqref="AO681:AQ691 AO694:AQ695 AO698:AQ739">
    <cfRule type="cellIs" dxfId="657" priority="658" stopIfTrue="1" operator="lessThan">
      <formula>0.001</formula>
    </cfRule>
  </conditionalFormatting>
  <conditionalFormatting sqref="AO681:AO691 AO694:AO695 AO698:AO739">
    <cfRule type="cellIs" dxfId="656" priority="657" stopIfTrue="1" operator="lessThan">
      <formula>0.001</formula>
    </cfRule>
  </conditionalFormatting>
  <conditionalFormatting sqref="AO681">
    <cfRule type="cellIs" dxfId="655" priority="656" stopIfTrue="1" operator="lessThan">
      <formula>0.001</formula>
    </cfRule>
  </conditionalFormatting>
  <conditionalFormatting sqref="AO682">
    <cfRule type="cellIs" dxfId="654" priority="655" stopIfTrue="1" operator="lessThan">
      <formula>0.001</formula>
    </cfRule>
  </conditionalFormatting>
  <conditionalFormatting sqref="AO683:AO690">
    <cfRule type="cellIs" dxfId="653" priority="654" stopIfTrue="1" operator="lessThan">
      <formula>0.001</formula>
    </cfRule>
  </conditionalFormatting>
  <conditionalFormatting sqref="AO691">
    <cfRule type="cellIs" dxfId="652" priority="653" stopIfTrue="1" operator="lessThan">
      <formula>0.001</formula>
    </cfRule>
  </conditionalFormatting>
  <conditionalFormatting sqref="AO694">
    <cfRule type="cellIs" dxfId="651" priority="652" stopIfTrue="1" operator="lessThan">
      <formula>0.001</formula>
    </cfRule>
  </conditionalFormatting>
  <conditionalFormatting sqref="AO695">
    <cfRule type="cellIs" dxfId="650" priority="651" stopIfTrue="1" operator="lessThan">
      <formula>0.001</formula>
    </cfRule>
  </conditionalFormatting>
  <conditionalFormatting sqref="AO698">
    <cfRule type="cellIs" dxfId="649" priority="650" stopIfTrue="1" operator="lessThan">
      <formula>0.001</formula>
    </cfRule>
  </conditionalFormatting>
  <conditionalFormatting sqref="AO699">
    <cfRule type="cellIs" dxfId="648" priority="649" stopIfTrue="1" operator="lessThan">
      <formula>0.001</formula>
    </cfRule>
  </conditionalFormatting>
  <conditionalFormatting sqref="AO700">
    <cfRule type="cellIs" dxfId="647" priority="648" stopIfTrue="1" operator="lessThan">
      <formula>0.001</formula>
    </cfRule>
  </conditionalFormatting>
  <conditionalFormatting sqref="AO701:AO703">
    <cfRule type="cellIs" dxfId="646" priority="647" stopIfTrue="1" operator="lessThan">
      <formula>0.001</formula>
    </cfRule>
  </conditionalFormatting>
  <conditionalFormatting sqref="AO704">
    <cfRule type="cellIs" dxfId="645" priority="646" stopIfTrue="1" operator="lessThan">
      <formula>0.001</formula>
    </cfRule>
  </conditionalFormatting>
  <conditionalFormatting sqref="AO705">
    <cfRule type="cellIs" dxfId="644" priority="645" stopIfTrue="1" operator="lessThan">
      <formula>0.001</formula>
    </cfRule>
  </conditionalFormatting>
  <conditionalFormatting sqref="AO707:AO709">
    <cfRule type="cellIs" dxfId="643" priority="644" stopIfTrue="1" operator="lessThan">
      <formula>0.001</formula>
    </cfRule>
  </conditionalFormatting>
  <conditionalFormatting sqref="AO706">
    <cfRule type="cellIs" dxfId="642" priority="643" stopIfTrue="1" operator="lessThan">
      <formula>0.001</formula>
    </cfRule>
  </conditionalFormatting>
  <conditionalFormatting sqref="AO710">
    <cfRule type="cellIs" dxfId="641" priority="642" stopIfTrue="1" operator="lessThan">
      <formula>0.001</formula>
    </cfRule>
  </conditionalFormatting>
  <conditionalFormatting sqref="AO711:AO716">
    <cfRule type="cellIs" dxfId="640" priority="641" stopIfTrue="1" operator="lessThan">
      <formula>0.001</formula>
    </cfRule>
  </conditionalFormatting>
  <conditionalFormatting sqref="AO717">
    <cfRule type="cellIs" dxfId="639" priority="640" stopIfTrue="1" operator="lessThan">
      <formula>0.001</formula>
    </cfRule>
  </conditionalFormatting>
  <conditionalFormatting sqref="AO718:AO720">
    <cfRule type="cellIs" dxfId="638" priority="639" stopIfTrue="1" operator="lessThan">
      <formula>0.001</formula>
    </cfRule>
  </conditionalFormatting>
  <conditionalFormatting sqref="AO721">
    <cfRule type="cellIs" dxfId="637" priority="638" stopIfTrue="1" operator="lessThan">
      <formula>0.001</formula>
    </cfRule>
  </conditionalFormatting>
  <conditionalFormatting sqref="AO722:AO724">
    <cfRule type="cellIs" dxfId="636" priority="637" stopIfTrue="1" operator="lessThan">
      <formula>0.001</formula>
    </cfRule>
  </conditionalFormatting>
  <conditionalFormatting sqref="AO725">
    <cfRule type="cellIs" dxfId="635" priority="636" stopIfTrue="1" operator="lessThan">
      <formula>0.001</formula>
    </cfRule>
  </conditionalFormatting>
  <conditionalFormatting sqref="AO726">
    <cfRule type="cellIs" dxfId="634" priority="635" stopIfTrue="1" operator="lessThan">
      <formula>0.001</formula>
    </cfRule>
  </conditionalFormatting>
  <conditionalFormatting sqref="AO727">
    <cfRule type="cellIs" dxfId="633" priority="634" stopIfTrue="1" operator="lessThan">
      <formula>0.001</formula>
    </cfRule>
  </conditionalFormatting>
  <conditionalFormatting sqref="AO728:AO730">
    <cfRule type="cellIs" dxfId="632" priority="633" stopIfTrue="1" operator="lessThan">
      <formula>0.001</formula>
    </cfRule>
  </conditionalFormatting>
  <conditionalFormatting sqref="AO731">
    <cfRule type="cellIs" dxfId="631" priority="632" stopIfTrue="1" operator="lessThan">
      <formula>0.001</formula>
    </cfRule>
  </conditionalFormatting>
  <conditionalFormatting sqref="AO732">
    <cfRule type="cellIs" dxfId="630" priority="631" stopIfTrue="1" operator="lessThan">
      <formula>0.001</formula>
    </cfRule>
  </conditionalFormatting>
  <conditionalFormatting sqref="AO733">
    <cfRule type="cellIs" dxfId="629" priority="630" stopIfTrue="1" operator="lessThan">
      <formula>0.001</formula>
    </cfRule>
  </conditionalFormatting>
  <conditionalFormatting sqref="AO734:AO735">
    <cfRule type="cellIs" dxfId="628" priority="629" stopIfTrue="1" operator="lessThan">
      <formula>0.001</formula>
    </cfRule>
  </conditionalFormatting>
  <conditionalFormatting sqref="AO736">
    <cfRule type="cellIs" dxfId="627" priority="628" stopIfTrue="1" operator="lessThan">
      <formula>0.001</formula>
    </cfRule>
  </conditionalFormatting>
  <conditionalFormatting sqref="AO737:AO739">
    <cfRule type="cellIs" dxfId="626" priority="627" stopIfTrue="1" operator="lessThan">
      <formula>0.001</formula>
    </cfRule>
  </conditionalFormatting>
  <conditionalFormatting sqref="AP681:AP691 AP694:AP695 AP698:AP739">
    <cfRule type="cellIs" dxfId="625" priority="626" stopIfTrue="1" operator="lessThan">
      <formula>0.001</formula>
    </cfRule>
  </conditionalFormatting>
  <conditionalFormatting sqref="AP681">
    <cfRule type="cellIs" dxfId="624" priority="625" stopIfTrue="1" operator="lessThan">
      <formula>0.001</formula>
    </cfRule>
  </conditionalFormatting>
  <conditionalFormatting sqref="AP682">
    <cfRule type="cellIs" dxfId="623" priority="624" stopIfTrue="1" operator="lessThan">
      <formula>0.001</formula>
    </cfRule>
  </conditionalFormatting>
  <conditionalFormatting sqref="AP683:AP690">
    <cfRule type="cellIs" dxfId="622" priority="623" stopIfTrue="1" operator="lessThan">
      <formula>0.001</formula>
    </cfRule>
  </conditionalFormatting>
  <conditionalFormatting sqref="AP691">
    <cfRule type="cellIs" dxfId="621" priority="622" stopIfTrue="1" operator="lessThan">
      <formula>0.001</formula>
    </cfRule>
  </conditionalFormatting>
  <conditionalFormatting sqref="AP694">
    <cfRule type="cellIs" dxfId="620" priority="621" stopIfTrue="1" operator="lessThan">
      <formula>0.001</formula>
    </cfRule>
  </conditionalFormatting>
  <conditionalFormatting sqref="AP695">
    <cfRule type="cellIs" dxfId="619" priority="620" stopIfTrue="1" operator="lessThan">
      <formula>0.001</formula>
    </cfRule>
  </conditionalFormatting>
  <conditionalFormatting sqref="AP698">
    <cfRule type="cellIs" dxfId="618" priority="619" stopIfTrue="1" operator="lessThan">
      <formula>0.001</formula>
    </cfRule>
  </conditionalFormatting>
  <conditionalFormatting sqref="AP699">
    <cfRule type="cellIs" dxfId="617" priority="618" stopIfTrue="1" operator="lessThan">
      <formula>0.001</formula>
    </cfRule>
  </conditionalFormatting>
  <conditionalFormatting sqref="AP700">
    <cfRule type="cellIs" dxfId="616" priority="617" stopIfTrue="1" operator="lessThan">
      <formula>0.001</formula>
    </cfRule>
  </conditionalFormatting>
  <conditionalFormatting sqref="AP701:AP703">
    <cfRule type="cellIs" dxfId="615" priority="616" stopIfTrue="1" operator="lessThan">
      <formula>0.001</formula>
    </cfRule>
  </conditionalFormatting>
  <conditionalFormatting sqref="AP704">
    <cfRule type="cellIs" dxfId="614" priority="615" stopIfTrue="1" operator="lessThan">
      <formula>0.001</formula>
    </cfRule>
  </conditionalFormatting>
  <conditionalFormatting sqref="AP705">
    <cfRule type="cellIs" dxfId="613" priority="614" stopIfTrue="1" operator="lessThan">
      <formula>0.001</formula>
    </cfRule>
  </conditionalFormatting>
  <conditionalFormatting sqref="AP707:AP709">
    <cfRule type="cellIs" dxfId="612" priority="613" stopIfTrue="1" operator="lessThan">
      <formula>0.001</formula>
    </cfRule>
  </conditionalFormatting>
  <conditionalFormatting sqref="AP706">
    <cfRule type="cellIs" dxfId="611" priority="612" stopIfTrue="1" operator="lessThan">
      <formula>0.001</formula>
    </cfRule>
  </conditionalFormatting>
  <conditionalFormatting sqref="AP710">
    <cfRule type="cellIs" dxfId="610" priority="611" stopIfTrue="1" operator="lessThan">
      <formula>0.001</formula>
    </cfRule>
  </conditionalFormatting>
  <conditionalFormatting sqref="AP711:AP716">
    <cfRule type="cellIs" dxfId="609" priority="610" stopIfTrue="1" operator="lessThan">
      <formula>0.001</formula>
    </cfRule>
  </conditionalFormatting>
  <conditionalFormatting sqref="AP717">
    <cfRule type="cellIs" dxfId="608" priority="609" stopIfTrue="1" operator="lessThan">
      <formula>0.001</formula>
    </cfRule>
  </conditionalFormatting>
  <conditionalFormatting sqref="AP718:AP720">
    <cfRule type="cellIs" dxfId="607" priority="608" stopIfTrue="1" operator="lessThan">
      <formula>0.001</formula>
    </cfRule>
  </conditionalFormatting>
  <conditionalFormatting sqref="AP721">
    <cfRule type="cellIs" dxfId="606" priority="607" stopIfTrue="1" operator="lessThan">
      <formula>0.001</formula>
    </cfRule>
  </conditionalFormatting>
  <conditionalFormatting sqref="AP722:AP724">
    <cfRule type="cellIs" dxfId="605" priority="606" stopIfTrue="1" operator="lessThan">
      <formula>0.001</formula>
    </cfRule>
  </conditionalFormatting>
  <conditionalFormatting sqref="AP725">
    <cfRule type="cellIs" dxfId="604" priority="605" stopIfTrue="1" operator="lessThan">
      <formula>0.001</formula>
    </cfRule>
  </conditionalFormatting>
  <conditionalFormatting sqref="AP726">
    <cfRule type="cellIs" dxfId="603" priority="604" stopIfTrue="1" operator="lessThan">
      <formula>0.001</formula>
    </cfRule>
  </conditionalFormatting>
  <conditionalFormatting sqref="AP727">
    <cfRule type="cellIs" dxfId="602" priority="603" stopIfTrue="1" operator="lessThan">
      <formula>0.001</formula>
    </cfRule>
  </conditionalFormatting>
  <conditionalFormatting sqref="AP728:AP730">
    <cfRule type="cellIs" dxfId="601" priority="602" stopIfTrue="1" operator="lessThan">
      <formula>0.001</formula>
    </cfRule>
  </conditionalFormatting>
  <conditionalFormatting sqref="AP731">
    <cfRule type="cellIs" dxfId="600" priority="601" stopIfTrue="1" operator="lessThan">
      <formula>0.001</formula>
    </cfRule>
  </conditionalFormatting>
  <conditionalFormatting sqref="AP732">
    <cfRule type="cellIs" dxfId="599" priority="600" stopIfTrue="1" operator="lessThan">
      <formula>0.001</formula>
    </cfRule>
  </conditionalFormatting>
  <conditionalFormatting sqref="AP733">
    <cfRule type="cellIs" dxfId="598" priority="599" stopIfTrue="1" operator="lessThan">
      <formula>0.001</formula>
    </cfRule>
  </conditionalFormatting>
  <conditionalFormatting sqref="AP734:AP735">
    <cfRule type="cellIs" dxfId="597" priority="598" stopIfTrue="1" operator="lessThan">
      <formula>0.001</formula>
    </cfRule>
  </conditionalFormatting>
  <conditionalFormatting sqref="AP736">
    <cfRule type="cellIs" dxfId="596" priority="597" stopIfTrue="1" operator="lessThan">
      <formula>0.001</formula>
    </cfRule>
  </conditionalFormatting>
  <conditionalFormatting sqref="AP737:AP739">
    <cfRule type="cellIs" dxfId="595" priority="596" stopIfTrue="1" operator="lessThan">
      <formula>0.001</formula>
    </cfRule>
  </conditionalFormatting>
  <conditionalFormatting sqref="AQ681:AQ691 AQ694:AQ695 AQ698:AQ739">
    <cfRule type="cellIs" dxfId="594" priority="595" stopIfTrue="1" operator="lessThan">
      <formula>0.001</formula>
    </cfRule>
  </conditionalFormatting>
  <conditionalFormatting sqref="AQ681">
    <cfRule type="cellIs" dxfId="593" priority="594" stopIfTrue="1" operator="lessThan">
      <formula>0.001</formula>
    </cfRule>
  </conditionalFormatting>
  <conditionalFormatting sqref="AQ682">
    <cfRule type="cellIs" dxfId="592" priority="593" stopIfTrue="1" operator="lessThan">
      <formula>0.001</formula>
    </cfRule>
  </conditionalFormatting>
  <conditionalFormatting sqref="AQ683:AQ690">
    <cfRule type="cellIs" dxfId="591" priority="592" stopIfTrue="1" operator="lessThan">
      <formula>0.001</formula>
    </cfRule>
  </conditionalFormatting>
  <conditionalFormatting sqref="AQ691">
    <cfRule type="cellIs" dxfId="590" priority="591" stopIfTrue="1" operator="lessThan">
      <formula>0.001</formula>
    </cfRule>
  </conditionalFormatting>
  <conditionalFormatting sqref="AQ694">
    <cfRule type="cellIs" dxfId="589" priority="590" stopIfTrue="1" operator="lessThan">
      <formula>0.001</formula>
    </cfRule>
  </conditionalFormatting>
  <conditionalFormatting sqref="AQ695">
    <cfRule type="cellIs" dxfId="588" priority="589" stopIfTrue="1" operator="lessThan">
      <formula>0.001</formula>
    </cfRule>
  </conditionalFormatting>
  <conditionalFormatting sqref="AQ698">
    <cfRule type="cellIs" dxfId="587" priority="588" stopIfTrue="1" operator="lessThan">
      <formula>0.001</formula>
    </cfRule>
  </conditionalFormatting>
  <conditionalFormatting sqref="AQ699">
    <cfRule type="cellIs" dxfId="586" priority="587" stopIfTrue="1" operator="lessThan">
      <formula>0.001</formula>
    </cfRule>
  </conditionalFormatting>
  <conditionalFormatting sqref="AQ700">
    <cfRule type="cellIs" dxfId="585" priority="586" stopIfTrue="1" operator="lessThan">
      <formula>0.001</formula>
    </cfRule>
  </conditionalFormatting>
  <conditionalFormatting sqref="AQ701:AQ703">
    <cfRule type="cellIs" dxfId="584" priority="585" stopIfTrue="1" operator="lessThan">
      <formula>0.001</formula>
    </cfRule>
  </conditionalFormatting>
  <conditionalFormatting sqref="AQ704">
    <cfRule type="cellIs" dxfId="583" priority="584" stopIfTrue="1" operator="lessThan">
      <formula>0.001</formula>
    </cfRule>
  </conditionalFormatting>
  <conditionalFormatting sqref="AQ705">
    <cfRule type="cellIs" dxfId="582" priority="583" stopIfTrue="1" operator="lessThan">
      <formula>0.001</formula>
    </cfRule>
  </conditionalFormatting>
  <conditionalFormatting sqref="AQ707:AQ709">
    <cfRule type="cellIs" dxfId="581" priority="582" stopIfTrue="1" operator="lessThan">
      <formula>0.001</formula>
    </cfRule>
  </conditionalFormatting>
  <conditionalFormatting sqref="AQ706">
    <cfRule type="cellIs" dxfId="580" priority="581" stopIfTrue="1" operator="lessThan">
      <formula>0.001</formula>
    </cfRule>
  </conditionalFormatting>
  <conditionalFormatting sqref="AQ710">
    <cfRule type="cellIs" dxfId="579" priority="580" stopIfTrue="1" operator="lessThan">
      <formula>0.001</formula>
    </cfRule>
  </conditionalFormatting>
  <conditionalFormatting sqref="AQ711:AQ716">
    <cfRule type="cellIs" dxfId="578" priority="579" stopIfTrue="1" operator="lessThan">
      <formula>0.001</formula>
    </cfRule>
  </conditionalFormatting>
  <conditionalFormatting sqref="AQ717">
    <cfRule type="cellIs" dxfId="577" priority="578" stopIfTrue="1" operator="lessThan">
      <formula>0.001</formula>
    </cfRule>
  </conditionalFormatting>
  <conditionalFormatting sqref="AQ718:AQ720">
    <cfRule type="cellIs" dxfId="576" priority="577" stopIfTrue="1" operator="lessThan">
      <formula>0.001</formula>
    </cfRule>
  </conditionalFormatting>
  <conditionalFormatting sqref="AQ721">
    <cfRule type="cellIs" dxfId="575" priority="576" stopIfTrue="1" operator="lessThan">
      <formula>0.001</formula>
    </cfRule>
  </conditionalFormatting>
  <conditionalFormatting sqref="AQ722:AQ724">
    <cfRule type="cellIs" dxfId="574" priority="575" stopIfTrue="1" operator="lessThan">
      <formula>0.001</formula>
    </cfRule>
  </conditionalFormatting>
  <conditionalFormatting sqref="AQ725">
    <cfRule type="cellIs" dxfId="573" priority="574" stopIfTrue="1" operator="lessThan">
      <formula>0.001</formula>
    </cfRule>
  </conditionalFormatting>
  <conditionalFormatting sqref="AQ726">
    <cfRule type="cellIs" dxfId="572" priority="573" stopIfTrue="1" operator="lessThan">
      <formula>0.001</formula>
    </cfRule>
  </conditionalFormatting>
  <conditionalFormatting sqref="AQ727">
    <cfRule type="cellIs" dxfId="571" priority="572" stopIfTrue="1" operator="lessThan">
      <formula>0.001</formula>
    </cfRule>
  </conditionalFormatting>
  <conditionalFormatting sqref="AQ728:AQ730">
    <cfRule type="cellIs" dxfId="570" priority="571" stopIfTrue="1" operator="lessThan">
      <formula>0.001</formula>
    </cfRule>
  </conditionalFormatting>
  <conditionalFormatting sqref="AQ731">
    <cfRule type="cellIs" dxfId="569" priority="570" stopIfTrue="1" operator="lessThan">
      <formula>0.001</formula>
    </cfRule>
  </conditionalFormatting>
  <conditionalFormatting sqref="AQ732">
    <cfRule type="cellIs" dxfId="568" priority="569" stopIfTrue="1" operator="lessThan">
      <formula>0.001</formula>
    </cfRule>
  </conditionalFormatting>
  <conditionalFormatting sqref="AQ733">
    <cfRule type="cellIs" dxfId="567" priority="568" stopIfTrue="1" operator="lessThan">
      <formula>0.001</formula>
    </cfRule>
  </conditionalFormatting>
  <conditionalFormatting sqref="AQ734:AQ735">
    <cfRule type="cellIs" dxfId="566" priority="567" stopIfTrue="1" operator="lessThan">
      <formula>0.001</formula>
    </cfRule>
  </conditionalFormatting>
  <conditionalFormatting sqref="AQ736">
    <cfRule type="cellIs" dxfId="565" priority="566" stopIfTrue="1" operator="lessThan">
      <formula>0.001</formula>
    </cfRule>
  </conditionalFormatting>
  <conditionalFormatting sqref="AQ737:AQ739">
    <cfRule type="cellIs" dxfId="564" priority="565" stopIfTrue="1" operator="lessThan">
      <formula>0.001</formula>
    </cfRule>
  </conditionalFormatting>
  <conditionalFormatting sqref="AO681:AQ691 AO694:AQ695 AO698:AQ739">
    <cfRule type="cellIs" dxfId="563" priority="564" stopIfTrue="1" operator="lessThan">
      <formula>0.001</formula>
    </cfRule>
  </conditionalFormatting>
  <conditionalFormatting sqref="AO681:AO691 AO694:AO695 AO698:AO739">
    <cfRule type="cellIs" dxfId="562" priority="563" stopIfTrue="1" operator="lessThan">
      <formula>0.001</formula>
    </cfRule>
  </conditionalFormatting>
  <conditionalFormatting sqref="AO681">
    <cfRule type="cellIs" dxfId="561" priority="562" stopIfTrue="1" operator="lessThan">
      <formula>0.001</formula>
    </cfRule>
  </conditionalFormatting>
  <conditionalFormatting sqref="AO682">
    <cfRule type="cellIs" dxfId="560" priority="561" stopIfTrue="1" operator="lessThan">
      <formula>0.001</formula>
    </cfRule>
  </conditionalFormatting>
  <conditionalFormatting sqref="AO683:AO690">
    <cfRule type="cellIs" dxfId="559" priority="560" stopIfTrue="1" operator="lessThan">
      <formula>0.001</formula>
    </cfRule>
  </conditionalFormatting>
  <conditionalFormatting sqref="AO691">
    <cfRule type="cellIs" dxfId="558" priority="559" stopIfTrue="1" operator="lessThan">
      <formula>0.001</formula>
    </cfRule>
  </conditionalFormatting>
  <conditionalFormatting sqref="AO694">
    <cfRule type="cellIs" dxfId="557" priority="558" stopIfTrue="1" operator="lessThan">
      <formula>0.001</formula>
    </cfRule>
  </conditionalFormatting>
  <conditionalFormatting sqref="AO695">
    <cfRule type="cellIs" dxfId="556" priority="557" stopIfTrue="1" operator="lessThan">
      <formula>0.001</formula>
    </cfRule>
  </conditionalFormatting>
  <conditionalFormatting sqref="AO698">
    <cfRule type="cellIs" dxfId="555" priority="556" stopIfTrue="1" operator="lessThan">
      <formula>0.001</formula>
    </cfRule>
  </conditionalFormatting>
  <conditionalFormatting sqref="AO699">
    <cfRule type="cellIs" dxfId="554" priority="555" stopIfTrue="1" operator="lessThan">
      <formula>0.001</formula>
    </cfRule>
  </conditionalFormatting>
  <conditionalFormatting sqref="AO700">
    <cfRule type="cellIs" dxfId="553" priority="554" stopIfTrue="1" operator="lessThan">
      <formula>0.001</formula>
    </cfRule>
  </conditionalFormatting>
  <conditionalFormatting sqref="AO701:AO703">
    <cfRule type="cellIs" dxfId="552" priority="553" stopIfTrue="1" operator="lessThan">
      <formula>0.001</formula>
    </cfRule>
  </conditionalFormatting>
  <conditionalFormatting sqref="AO704">
    <cfRule type="cellIs" dxfId="551" priority="552" stopIfTrue="1" operator="lessThan">
      <formula>0.001</formula>
    </cfRule>
  </conditionalFormatting>
  <conditionalFormatting sqref="AO705">
    <cfRule type="cellIs" dxfId="550" priority="551" stopIfTrue="1" operator="lessThan">
      <formula>0.001</formula>
    </cfRule>
  </conditionalFormatting>
  <conditionalFormatting sqref="AO707:AO709">
    <cfRule type="cellIs" dxfId="549" priority="550" stopIfTrue="1" operator="lessThan">
      <formula>0.001</formula>
    </cfRule>
  </conditionalFormatting>
  <conditionalFormatting sqref="AO706">
    <cfRule type="cellIs" dxfId="548" priority="549" stopIfTrue="1" operator="lessThan">
      <formula>0.001</formula>
    </cfRule>
  </conditionalFormatting>
  <conditionalFormatting sqref="AO710">
    <cfRule type="cellIs" dxfId="547" priority="548" stopIfTrue="1" operator="lessThan">
      <formula>0.001</formula>
    </cfRule>
  </conditionalFormatting>
  <conditionalFormatting sqref="AO711:AO716">
    <cfRule type="cellIs" dxfId="546" priority="547" stopIfTrue="1" operator="lessThan">
      <formula>0.001</formula>
    </cfRule>
  </conditionalFormatting>
  <conditionalFormatting sqref="AO717">
    <cfRule type="cellIs" dxfId="545" priority="546" stopIfTrue="1" operator="lessThan">
      <formula>0.001</formula>
    </cfRule>
  </conditionalFormatting>
  <conditionalFormatting sqref="AO718:AO720">
    <cfRule type="cellIs" dxfId="544" priority="545" stopIfTrue="1" operator="lessThan">
      <formula>0.001</formula>
    </cfRule>
  </conditionalFormatting>
  <conditionalFormatting sqref="AO721">
    <cfRule type="cellIs" dxfId="543" priority="544" stopIfTrue="1" operator="lessThan">
      <formula>0.001</formula>
    </cfRule>
  </conditionalFormatting>
  <conditionalFormatting sqref="AO722:AO724">
    <cfRule type="cellIs" dxfId="542" priority="543" stopIfTrue="1" operator="lessThan">
      <formula>0.001</formula>
    </cfRule>
  </conditionalFormatting>
  <conditionalFormatting sqref="AO725">
    <cfRule type="cellIs" dxfId="541" priority="542" stopIfTrue="1" operator="lessThan">
      <formula>0.001</formula>
    </cfRule>
  </conditionalFormatting>
  <conditionalFormatting sqref="AO726">
    <cfRule type="cellIs" dxfId="540" priority="541" stopIfTrue="1" operator="lessThan">
      <formula>0.001</formula>
    </cfRule>
  </conditionalFormatting>
  <conditionalFormatting sqref="AO727">
    <cfRule type="cellIs" dxfId="539" priority="540" stopIfTrue="1" operator="lessThan">
      <formula>0.001</formula>
    </cfRule>
  </conditionalFormatting>
  <conditionalFormatting sqref="AO728:AO730">
    <cfRule type="cellIs" dxfId="538" priority="539" stopIfTrue="1" operator="lessThan">
      <formula>0.001</formula>
    </cfRule>
  </conditionalFormatting>
  <conditionalFormatting sqref="AO731">
    <cfRule type="cellIs" dxfId="537" priority="538" stopIfTrue="1" operator="lessThan">
      <formula>0.001</formula>
    </cfRule>
  </conditionalFormatting>
  <conditionalFormatting sqref="AO732">
    <cfRule type="cellIs" dxfId="536" priority="537" stopIfTrue="1" operator="lessThan">
      <formula>0.001</formula>
    </cfRule>
  </conditionalFormatting>
  <conditionalFormatting sqref="AO733">
    <cfRule type="cellIs" dxfId="535" priority="536" stopIfTrue="1" operator="lessThan">
      <formula>0.001</formula>
    </cfRule>
  </conditionalFormatting>
  <conditionalFormatting sqref="AO734:AO735">
    <cfRule type="cellIs" dxfId="534" priority="535" stopIfTrue="1" operator="lessThan">
      <formula>0.001</formula>
    </cfRule>
  </conditionalFormatting>
  <conditionalFormatting sqref="AO736">
    <cfRule type="cellIs" dxfId="533" priority="534" stopIfTrue="1" operator="lessThan">
      <formula>0.001</formula>
    </cfRule>
  </conditionalFormatting>
  <conditionalFormatting sqref="AO737:AO739">
    <cfRule type="cellIs" dxfId="532" priority="533" stopIfTrue="1" operator="lessThan">
      <formula>0.001</formula>
    </cfRule>
  </conditionalFormatting>
  <conditionalFormatting sqref="AP681:AP691 AP694:AP695 AP698:AP739">
    <cfRule type="cellIs" dxfId="531" priority="532" stopIfTrue="1" operator="lessThan">
      <formula>0.001</formula>
    </cfRule>
  </conditionalFormatting>
  <conditionalFormatting sqref="AP681">
    <cfRule type="cellIs" dxfId="530" priority="531" stopIfTrue="1" operator="lessThan">
      <formula>0.001</formula>
    </cfRule>
  </conditionalFormatting>
  <conditionalFormatting sqref="AP682">
    <cfRule type="cellIs" dxfId="529" priority="530" stopIfTrue="1" operator="lessThan">
      <formula>0.001</formula>
    </cfRule>
  </conditionalFormatting>
  <conditionalFormatting sqref="AP683:AP690">
    <cfRule type="cellIs" dxfId="528" priority="529" stopIfTrue="1" operator="lessThan">
      <formula>0.001</formula>
    </cfRule>
  </conditionalFormatting>
  <conditionalFormatting sqref="AP691">
    <cfRule type="cellIs" dxfId="527" priority="528" stopIfTrue="1" operator="lessThan">
      <formula>0.001</formula>
    </cfRule>
  </conditionalFormatting>
  <conditionalFormatting sqref="AP694">
    <cfRule type="cellIs" dxfId="526" priority="527" stopIfTrue="1" operator="lessThan">
      <formula>0.001</formula>
    </cfRule>
  </conditionalFormatting>
  <conditionalFormatting sqref="AP695">
    <cfRule type="cellIs" dxfId="525" priority="526" stopIfTrue="1" operator="lessThan">
      <formula>0.001</formula>
    </cfRule>
  </conditionalFormatting>
  <conditionalFormatting sqref="AP698">
    <cfRule type="cellIs" dxfId="524" priority="525" stopIfTrue="1" operator="lessThan">
      <formula>0.001</formula>
    </cfRule>
  </conditionalFormatting>
  <conditionalFormatting sqref="AP699">
    <cfRule type="cellIs" dxfId="523" priority="524" stopIfTrue="1" operator="lessThan">
      <formula>0.001</formula>
    </cfRule>
  </conditionalFormatting>
  <conditionalFormatting sqref="AP700">
    <cfRule type="cellIs" dxfId="522" priority="523" stopIfTrue="1" operator="lessThan">
      <formula>0.001</formula>
    </cfRule>
  </conditionalFormatting>
  <conditionalFormatting sqref="AP701:AP703">
    <cfRule type="cellIs" dxfId="521" priority="522" stopIfTrue="1" operator="lessThan">
      <formula>0.001</formula>
    </cfRule>
  </conditionalFormatting>
  <conditionalFormatting sqref="AP704">
    <cfRule type="cellIs" dxfId="520" priority="521" stopIfTrue="1" operator="lessThan">
      <formula>0.001</formula>
    </cfRule>
  </conditionalFormatting>
  <conditionalFormatting sqref="AP705">
    <cfRule type="cellIs" dxfId="519" priority="520" stopIfTrue="1" operator="lessThan">
      <formula>0.001</formula>
    </cfRule>
  </conditionalFormatting>
  <conditionalFormatting sqref="AP707:AP709">
    <cfRule type="cellIs" dxfId="518" priority="519" stopIfTrue="1" operator="lessThan">
      <formula>0.001</formula>
    </cfRule>
  </conditionalFormatting>
  <conditionalFormatting sqref="AP706">
    <cfRule type="cellIs" dxfId="517" priority="518" stopIfTrue="1" operator="lessThan">
      <formula>0.001</formula>
    </cfRule>
  </conditionalFormatting>
  <conditionalFormatting sqref="AP710">
    <cfRule type="cellIs" dxfId="516" priority="517" stopIfTrue="1" operator="lessThan">
      <formula>0.001</formula>
    </cfRule>
  </conditionalFormatting>
  <conditionalFormatting sqref="AP711:AP716">
    <cfRule type="cellIs" dxfId="515" priority="516" stopIfTrue="1" operator="lessThan">
      <formula>0.001</formula>
    </cfRule>
  </conditionalFormatting>
  <conditionalFormatting sqref="AP717">
    <cfRule type="cellIs" dxfId="514" priority="515" stopIfTrue="1" operator="lessThan">
      <formula>0.001</formula>
    </cfRule>
  </conditionalFormatting>
  <conditionalFormatting sqref="AP718:AP720">
    <cfRule type="cellIs" dxfId="513" priority="514" stopIfTrue="1" operator="lessThan">
      <formula>0.001</formula>
    </cfRule>
  </conditionalFormatting>
  <conditionalFormatting sqref="AP721">
    <cfRule type="cellIs" dxfId="512" priority="513" stopIfTrue="1" operator="lessThan">
      <formula>0.001</formula>
    </cfRule>
  </conditionalFormatting>
  <conditionalFormatting sqref="AP722:AP724">
    <cfRule type="cellIs" dxfId="511" priority="512" stopIfTrue="1" operator="lessThan">
      <formula>0.001</formula>
    </cfRule>
  </conditionalFormatting>
  <conditionalFormatting sqref="AP725">
    <cfRule type="cellIs" dxfId="510" priority="511" stopIfTrue="1" operator="lessThan">
      <formula>0.001</formula>
    </cfRule>
  </conditionalFormatting>
  <conditionalFormatting sqref="AP726">
    <cfRule type="cellIs" dxfId="509" priority="510" stopIfTrue="1" operator="lessThan">
      <formula>0.001</formula>
    </cfRule>
  </conditionalFormatting>
  <conditionalFormatting sqref="AP727">
    <cfRule type="cellIs" dxfId="508" priority="509" stopIfTrue="1" operator="lessThan">
      <formula>0.001</formula>
    </cfRule>
  </conditionalFormatting>
  <conditionalFormatting sqref="AP728:AP730">
    <cfRule type="cellIs" dxfId="507" priority="508" stopIfTrue="1" operator="lessThan">
      <formula>0.001</formula>
    </cfRule>
  </conditionalFormatting>
  <conditionalFormatting sqref="AP731">
    <cfRule type="cellIs" dxfId="506" priority="507" stopIfTrue="1" operator="lessThan">
      <formula>0.001</formula>
    </cfRule>
  </conditionalFormatting>
  <conditionalFormatting sqref="AP732">
    <cfRule type="cellIs" dxfId="505" priority="506" stopIfTrue="1" operator="lessThan">
      <formula>0.001</formula>
    </cfRule>
  </conditionalFormatting>
  <conditionalFormatting sqref="AP733">
    <cfRule type="cellIs" dxfId="504" priority="505" stopIfTrue="1" operator="lessThan">
      <formula>0.001</formula>
    </cfRule>
  </conditionalFormatting>
  <conditionalFormatting sqref="AP734:AP735">
    <cfRule type="cellIs" dxfId="503" priority="504" stopIfTrue="1" operator="lessThan">
      <formula>0.001</formula>
    </cfRule>
  </conditionalFormatting>
  <conditionalFormatting sqref="AP736">
    <cfRule type="cellIs" dxfId="502" priority="503" stopIfTrue="1" operator="lessThan">
      <formula>0.001</formula>
    </cfRule>
  </conditionalFormatting>
  <conditionalFormatting sqref="AP737:AP739">
    <cfRule type="cellIs" dxfId="501" priority="502" stopIfTrue="1" operator="lessThan">
      <formula>0.001</formula>
    </cfRule>
  </conditionalFormatting>
  <conditionalFormatting sqref="AQ681:AQ691 AQ694:AQ695 AQ698:AQ739">
    <cfRule type="cellIs" dxfId="500" priority="501" stopIfTrue="1" operator="lessThan">
      <formula>0.001</formula>
    </cfRule>
  </conditionalFormatting>
  <conditionalFormatting sqref="AQ681">
    <cfRule type="cellIs" dxfId="499" priority="500" stopIfTrue="1" operator="lessThan">
      <formula>0.001</formula>
    </cfRule>
  </conditionalFormatting>
  <conditionalFormatting sqref="AQ682">
    <cfRule type="cellIs" dxfId="498" priority="499" stopIfTrue="1" operator="lessThan">
      <formula>0.001</formula>
    </cfRule>
  </conditionalFormatting>
  <conditionalFormatting sqref="AQ683:AQ690">
    <cfRule type="cellIs" dxfId="497" priority="498" stopIfTrue="1" operator="lessThan">
      <formula>0.001</formula>
    </cfRule>
  </conditionalFormatting>
  <conditionalFormatting sqref="AQ691">
    <cfRule type="cellIs" dxfId="496" priority="497" stopIfTrue="1" operator="lessThan">
      <formula>0.001</formula>
    </cfRule>
  </conditionalFormatting>
  <conditionalFormatting sqref="AQ694">
    <cfRule type="cellIs" dxfId="495" priority="496" stopIfTrue="1" operator="lessThan">
      <formula>0.001</formula>
    </cfRule>
  </conditionalFormatting>
  <conditionalFormatting sqref="AQ695">
    <cfRule type="cellIs" dxfId="494" priority="495" stopIfTrue="1" operator="lessThan">
      <formula>0.001</formula>
    </cfRule>
  </conditionalFormatting>
  <conditionalFormatting sqref="AQ698">
    <cfRule type="cellIs" dxfId="493" priority="494" stopIfTrue="1" operator="lessThan">
      <formula>0.001</formula>
    </cfRule>
  </conditionalFormatting>
  <conditionalFormatting sqref="AQ699">
    <cfRule type="cellIs" dxfId="492" priority="493" stopIfTrue="1" operator="lessThan">
      <formula>0.001</formula>
    </cfRule>
  </conditionalFormatting>
  <conditionalFormatting sqref="AQ700">
    <cfRule type="cellIs" dxfId="491" priority="492" stopIfTrue="1" operator="lessThan">
      <formula>0.001</formula>
    </cfRule>
  </conditionalFormatting>
  <conditionalFormatting sqref="AQ701:AQ703">
    <cfRule type="cellIs" dxfId="490" priority="491" stopIfTrue="1" operator="lessThan">
      <formula>0.001</formula>
    </cfRule>
  </conditionalFormatting>
  <conditionalFormatting sqref="AQ704">
    <cfRule type="cellIs" dxfId="489" priority="490" stopIfTrue="1" operator="lessThan">
      <formula>0.001</formula>
    </cfRule>
  </conditionalFormatting>
  <conditionalFormatting sqref="AQ705">
    <cfRule type="cellIs" dxfId="488" priority="489" stopIfTrue="1" operator="lessThan">
      <formula>0.001</formula>
    </cfRule>
  </conditionalFormatting>
  <conditionalFormatting sqref="AQ707:AQ709">
    <cfRule type="cellIs" dxfId="487" priority="488" stopIfTrue="1" operator="lessThan">
      <formula>0.001</formula>
    </cfRule>
  </conditionalFormatting>
  <conditionalFormatting sqref="AQ706">
    <cfRule type="cellIs" dxfId="486" priority="487" stopIfTrue="1" operator="lessThan">
      <formula>0.001</formula>
    </cfRule>
  </conditionalFormatting>
  <conditionalFormatting sqref="AQ710">
    <cfRule type="cellIs" dxfId="485" priority="486" stopIfTrue="1" operator="lessThan">
      <formula>0.001</formula>
    </cfRule>
  </conditionalFormatting>
  <conditionalFormatting sqref="AQ711:AQ716">
    <cfRule type="cellIs" dxfId="484" priority="485" stopIfTrue="1" operator="lessThan">
      <formula>0.001</formula>
    </cfRule>
  </conditionalFormatting>
  <conditionalFormatting sqref="AQ717">
    <cfRule type="cellIs" dxfId="483" priority="484" stopIfTrue="1" operator="lessThan">
      <formula>0.001</formula>
    </cfRule>
  </conditionalFormatting>
  <conditionalFormatting sqref="AQ718:AQ720">
    <cfRule type="cellIs" dxfId="482" priority="483" stopIfTrue="1" operator="lessThan">
      <formula>0.001</formula>
    </cfRule>
  </conditionalFormatting>
  <conditionalFormatting sqref="AQ721">
    <cfRule type="cellIs" dxfId="481" priority="482" stopIfTrue="1" operator="lessThan">
      <formula>0.001</formula>
    </cfRule>
  </conditionalFormatting>
  <conditionalFormatting sqref="AQ722:AQ724">
    <cfRule type="cellIs" dxfId="480" priority="481" stopIfTrue="1" operator="lessThan">
      <formula>0.001</formula>
    </cfRule>
  </conditionalFormatting>
  <conditionalFormatting sqref="AQ725">
    <cfRule type="cellIs" dxfId="479" priority="480" stopIfTrue="1" operator="lessThan">
      <formula>0.001</formula>
    </cfRule>
  </conditionalFormatting>
  <conditionalFormatting sqref="AQ726">
    <cfRule type="cellIs" dxfId="478" priority="479" stopIfTrue="1" operator="lessThan">
      <formula>0.001</formula>
    </cfRule>
  </conditionalFormatting>
  <conditionalFormatting sqref="AQ727">
    <cfRule type="cellIs" dxfId="477" priority="478" stopIfTrue="1" operator="lessThan">
      <formula>0.001</formula>
    </cfRule>
  </conditionalFormatting>
  <conditionalFormatting sqref="AQ728:AQ730">
    <cfRule type="cellIs" dxfId="476" priority="477" stopIfTrue="1" operator="lessThan">
      <formula>0.001</formula>
    </cfRule>
  </conditionalFormatting>
  <conditionalFormatting sqref="AQ731">
    <cfRule type="cellIs" dxfId="475" priority="476" stopIfTrue="1" operator="lessThan">
      <formula>0.001</formula>
    </cfRule>
  </conditionalFormatting>
  <conditionalFormatting sqref="AQ732">
    <cfRule type="cellIs" dxfId="474" priority="475" stopIfTrue="1" operator="lessThan">
      <formula>0.001</formula>
    </cfRule>
  </conditionalFormatting>
  <conditionalFormatting sqref="AQ733">
    <cfRule type="cellIs" dxfId="473" priority="474" stopIfTrue="1" operator="lessThan">
      <formula>0.001</formula>
    </cfRule>
  </conditionalFormatting>
  <conditionalFormatting sqref="AQ734:AQ735">
    <cfRule type="cellIs" dxfId="472" priority="473" stopIfTrue="1" operator="lessThan">
      <formula>0.001</formula>
    </cfRule>
  </conditionalFormatting>
  <conditionalFormatting sqref="AQ736">
    <cfRule type="cellIs" dxfId="471" priority="472" stopIfTrue="1" operator="lessThan">
      <formula>0.001</formula>
    </cfRule>
  </conditionalFormatting>
  <conditionalFormatting sqref="AQ737:AQ739">
    <cfRule type="cellIs" dxfId="470" priority="471" stopIfTrue="1" operator="lessThan">
      <formula>0.001</formula>
    </cfRule>
  </conditionalFormatting>
  <conditionalFormatting sqref="AO681:AQ691 AO694:AQ695 AO698:AQ739">
    <cfRule type="cellIs" dxfId="469" priority="470" stopIfTrue="1" operator="lessThan">
      <formula>0.001</formula>
    </cfRule>
  </conditionalFormatting>
  <conditionalFormatting sqref="AO681:AO691 AO694:AO695 AO698:AO739">
    <cfRule type="cellIs" dxfId="468" priority="469" stopIfTrue="1" operator="lessThan">
      <formula>0.001</formula>
    </cfRule>
  </conditionalFormatting>
  <conditionalFormatting sqref="AO681">
    <cfRule type="cellIs" dxfId="467" priority="468" stopIfTrue="1" operator="lessThan">
      <formula>0.001</formula>
    </cfRule>
  </conditionalFormatting>
  <conditionalFormatting sqref="AO682">
    <cfRule type="cellIs" dxfId="466" priority="467" stopIfTrue="1" operator="lessThan">
      <formula>0.001</formula>
    </cfRule>
  </conditionalFormatting>
  <conditionalFormatting sqref="AO683:AO690">
    <cfRule type="cellIs" dxfId="465" priority="466" stopIfTrue="1" operator="lessThan">
      <formula>0.001</formula>
    </cfRule>
  </conditionalFormatting>
  <conditionalFormatting sqref="AO691">
    <cfRule type="cellIs" dxfId="464" priority="465" stopIfTrue="1" operator="lessThan">
      <formula>0.001</formula>
    </cfRule>
  </conditionalFormatting>
  <conditionalFormatting sqref="AO694">
    <cfRule type="cellIs" dxfId="463" priority="464" stopIfTrue="1" operator="lessThan">
      <formula>0.001</formula>
    </cfRule>
  </conditionalFormatting>
  <conditionalFormatting sqref="AO695">
    <cfRule type="cellIs" dxfId="462" priority="463" stopIfTrue="1" operator="lessThan">
      <formula>0.001</formula>
    </cfRule>
  </conditionalFormatting>
  <conditionalFormatting sqref="AO698">
    <cfRule type="cellIs" dxfId="461" priority="462" stopIfTrue="1" operator="lessThan">
      <formula>0.001</formula>
    </cfRule>
  </conditionalFormatting>
  <conditionalFormatting sqref="AO699">
    <cfRule type="cellIs" dxfId="460" priority="461" stopIfTrue="1" operator="lessThan">
      <formula>0.001</formula>
    </cfRule>
  </conditionalFormatting>
  <conditionalFormatting sqref="AO700">
    <cfRule type="cellIs" dxfId="459" priority="460" stopIfTrue="1" operator="lessThan">
      <formula>0.001</formula>
    </cfRule>
  </conditionalFormatting>
  <conditionalFormatting sqref="AO701:AO703">
    <cfRule type="cellIs" dxfId="458" priority="459" stopIfTrue="1" operator="lessThan">
      <formula>0.001</formula>
    </cfRule>
  </conditionalFormatting>
  <conditionalFormatting sqref="AO704">
    <cfRule type="cellIs" dxfId="457" priority="458" stopIfTrue="1" operator="lessThan">
      <formula>0.001</formula>
    </cfRule>
  </conditionalFormatting>
  <conditionalFormatting sqref="AO705">
    <cfRule type="cellIs" dxfId="456" priority="457" stopIfTrue="1" operator="lessThan">
      <formula>0.001</formula>
    </cfRule>
  </conditionalFormatting>
  <conditionalFormatting sqref="AO707:AO709">
    <cfRule type="cellIs" dxfId="455" priority="456" stopIfTrue="1" operator="lessThan">
      <formula>0.001</formula>
    </cfRule>
  </conditionalFormatting>
  <conditionalFormatting sqref="AO706">
    <cfRule type="cellIs" dxfId="454" priority="455" stopIfTrue="1" operator="lessThan">
      <formula>0.001</formula>
    </cfRule>
  </conditionalFormatting>
  <conditionalFormatting sqref="AO710">
    <cfRule type="cellIs" dxfId="453" priority="454" stopIfTrue="1" operator="lessThan">
      <formula>0.001</formula>
    </cfRule>
  </conditionalFormatting>
  <conditionalFormatting sqref="AO711:AO716">
    <cfRule type="cellIs" dxfId="452" priority="453" stopIfTrue="1" operator="lessThan">
      <formula>0.001</formula>
    </cfRule>
  </conditionalFormatting>
  <conditionalFormatting sqref="AO717">
    <cfRule type="cellIs" dxfId="451" priority="452" stopIfTrue="1" operator="lessThan">
      <formula>0.001</formula>
    </cfRule>
  </conditionalFormatting>
  <conditionalFormatting sqref="AO718:AO720">
    <cfRule type="cellIs" dxfId="450" priority="451" stopIfTrue="1" operator="lessThan">
      <formula>0.001</formula>
    </cfRule>
  </conditionalFormatting>
  <conditionalFormatting sqref="AO721">
    <cfRule type="cellIs" dxfId="449" priority="450" stopIfTrue="1" operator="lessThan">
      <formula>0.001</formula>
    </cfRule>
  </conditionalFormatting>
  <conditionalFormatting sqref="AO722:AO724">
    <cfRule type="cellIs" dxfId="448" priority="449" stopIfTrue="1" operator="lessThan">
      <formula>0.001</formula>
    </cfRule>
  </conditionalFormatting>
  <conditionalFormatting sqref="AO725">
    <cfRule type="cellIs" dxfId="447" priority="448" stopIfTrue="1" operator="lessThan">
      <formula>0.001</formula>
    </cfRule>
  </conditionalFormatting>
  <conditionalFormatting sqref="AO726">
    <cfRule type="cellIs" dxfId="446" priority="447" stopIfTrue="1" operator="lessThan">
      <formula>0.001</formula>
    </cfRule>
  </conditionalFormatting>
  <conditionalFormatting sqref="AO727">
    <cfRule type="cellIs" dxfId="445" priority="446" stopIfTrue="1" operator="lessThan">
      <formula>0.001</formula>
    </cfRule>
  </conditionalFormatting>
  <conditionalFormatting sqref="AO728:AO730">
    <cfRule type="cellIs" dxfId="444" priority="445" stopIfTrue="1" operator="lessThan">
      <formula>0.001</formula>
    </cfRule>
  </conditionalFormatting>
  <conditionalFormatting sqref="AO731">
    <cfRule type="cellIs" dxfId="443" priority="444" stopIfTrue="1" operator="lessThan">
      <formula>0.001</formula>
    </cfRule>
  </conditionalFormatting>
  <conditionalFormatting sqref="AO732">
    <cfRule type="cellIs" dxfId="442" priority="443" stopIfTrue="1" operator="lessThan">
      <formula>0.001</formula>
    </cfRule>
  </conditionalFormatting>
  <conditionalFormatting sqref="AO733">
    <cfRule type="cellIs" dxfId="441" priority="442" stopIfTrue="1" operator="lessThan">
      <formula>0.001</formula>
    </cfRule>
  </conditionalFormatting>
  <conditionalFormatting sqref="AO734:AO735">
    <cfRule type="cellIs" dxfId="440" priority="441" stopIfTrue="1" operator="lessThan">
      <formula>0.001</formula>
    </cfRule>
  </conditionalFormatting>
  <conditionalFormatting sqref="AO736">
    <cfRule type="cellIs" dxfId="439" priority="440" stopIfTrue="1" operator="lessThan">
      <formula>0.001</formula>
    </cfRule>
  </conditionalFormatting>
  <conditionalFormatting sqref="AO737:AO739">
    <cfRule type="cellIs" dxfId="438" priority="439" stopIfTrue="1" operator="lessThan">
      <formula>0.001</formula>
    </cfRule>
  </conditionalFormatting>
  <conditionalFormatting sqref="AP681:AP691 AP694:AP695 AP698:AP739">
    <cfRule type="cellIs" dxfId="437" priority="438" stopIfTrue="1" operator="lessThan">
      <formula>0.001</formula>
    </cfRule>
  </conditionalFormatting>
  <conditionalFormatting sqref="AP681">
    <cfRule type="cellIs" dxfId="436" priority="437" stopIfTrue="1" operator="lessThan">
      <formula>0.001</formula>
    </cfRule>
  </conditionalFormatting>
  <conditionalFormatting sqref="AP682">
    <cfRule type="cellIs" dxfId="435" priority="436" stopIfTrue="1" operator="lessThan">
      <formula>0.001</formula>
    </cfRule>
  </conditionalFormatting>
  <conditionalFormatting sqref="AP683:AP690">
    <cfRule type="cellIs" dxfId="434" priority="435" stopIfTrue="1" operator="lessThan">
      <formula>0.001</formula>
    </cfRule>
  </conditionalFormatting>
  <conditionalFormatting sqref="AP691">
    <cfRule type="cellIs" dxfId="433" priority="434" stopIfTrue="1" operator="lessThan">
      <formula>0.001</formula>
    </cfRule>
  </conditionalFormatting>
  <conditionalFormatting sqref="AP694">
    <cfRule type="cellIs" dxfId="432" priority="433" stopIfTrue="1" operator="lessThan">
      <formula>0.001</formula>
    </cfRule>
  </conditionalFormatting>
  <conditionalFormatting sqref="AP695">
    <cfRule type="cellIs" dxfId="431" priority="432" stopIfTrue="1" operator="lessThan">
      <formula>0.001</formula>
    </cfRule>
  </conditionalFormatting>
  <conditionalFormatting sqref="AP698">
    <cfRule type="cellIs" dxfId="430" priority="431" stopIfTrue="1" operator="lessThan">
      <formula>0.001</formula>
    </cfRule>
  </conditionalFormatting>
  <conditionalFormatting sqref="AP699">
    <cfRule type="cellIs" dxfId="429" priority="430" stopIfTrue="1" operator="lessThan">
      <formula>0.001</formula>
    </cfRule>
  </conditionalFormatting>
  <conditionalFormatting sqref="AP700">
    <cfRule type="cellIs" dxfId="428" priority="429" stopIfTrue="1" operator="lessThan">
      <formula>0.001</formula>
    </cfRule>
  </conditionalFormatting>
  <conditionalFormatting sqref="AP701:AP703">
    <cfRule type="cellIs" dxfId="427" priority="428" stopIfTrue="1" operator="lessThan">
      <formula>0.001</formula>
    </cfRule>
  </conditionalFormatting>
  <conditionalFormatting sqref="AP704">
    <cfRule type="cellIs" dxfId="426" priority="427" stopIfTrue="1" operator="lessThan">
      <formula>0.001</formula>
    </cfRule>
  </conditionalFormatting>
  <conditionalFormatting sqref="AP705">
    <cfRule type="cellIs" dxfId="425" priority="426" stopIfTrue="1" operator="lessThan">
      <formula>0.001</formula>
    </cfRule>
  </conditionalFormatting>
  <conditionalFormatting sqref="AP707:AP709">
    <cfRule type="cellIs" dxfId="424" priority="425" stopIfTrue="1" operator="lessThan">
      <formula>0.001</formula>
    </cfRule>
  </conditionalFormatting>
  <conditionalFormatting sqref="AP706">
    <cfRule type="cellIs" dxfId="423" priority="424" stopIfTrue="1" operator="lessThan">
      <formula>0.001</formula>
    </cfRule>
  </conditionalFormatting>
  <conditionalFormatting sqref="AP710">
    <cfRule type="cellIs" dxfId="422" priority="423" stopIfTrue="1" operator="lessThan">
      <formula>0.001</formula>
    </cfRule>
  </conditionalFormatting>
  <conditionalFormatting sqref="AP711:AP716">
    <cfRule type="cellIs" dxfId="421" priority="422" stopIfTrue="1" operator="lessThan">
      <formula>0.001</formula>
    </cfRule>
  </conditionalFormatting>
  <conditionalFormatting sqref="AP717">
    <cfRule type="cellIs" dxfId="420" priority="421" stopIfTrue="1" operator="lessThan">
      <formula>0.001</formula>
    </cfRule>
  </conditionalFormatting>
  <conditionalFormatting sqref="AP718:AP720">
    <cfRule type="cellIs" dxfId="419" priority="420" stopIfTrue="1" operator="lessThan">
      <formula>0.001</formula>
    </cfRule>
  </conditionalFormatting>
  <conditionalFormatting sqref="AP721">
    <cfRule type="cellIs" dxfId="418" priority="419" stopIfTrue="1" operator="lessThan">
      <formula>0.001</formula>
    </cfRule>
  </conditionalFormatting>
  <conditionalFormatting sqref="AP722:AP724">
    <cfRule type="cellIs" dxfId="417" priority="418" stopIfTrue="1" operator="lessThan">
      <formula>0.001</formula>
    </cfRule>
  </conditionalFormatting>
  <conditionalFormatting sqref="AP725">
    <cfRule type="cellIs" dxfId="416" priority="417" stopIfTrue="1" operator="lessThan">
      <formula>0.001</formula>
    </cfRule>
  </conditionalFormatting>
  <conditionalFormatting sqref="AP726">
    <cfRule type="cellIs" dxfId="415" priority="416" stopIfTrue="1" operator="lessThan">
      <formula>0.001</formula>
    </cfRule>
  </conditionalFormatting>
  <conditionalFormatting sqref="AP727">
    <cfRule type="cellIs" dxfId="414" priority="415" stopIfTrue="1" operator="lessThan">
      <formula>0.001</formula>
    </cfRule>
  </conditionalFormatting>
  <conditionalFormatting sqref="AP728:AP730">
    <cfRule type="cellIs" dxfId="413" priority="414" stopIfTrue="1" operator="lessThan">
      <formula>0.001</formula>
    </cfRule>
  </conditionalFormatting>
  <conditionalFormatting sqref="AP731">
    <cfRule type="cellIs" dxfId="412" priority="413" stopIfTrue="1" operator="lessThan">
      <formula>0.001</formula>
    </cfRule>
  </conditionalFormatting>
  <conditionalFormatting sqref="AP732">
    <cfRule type="cellIs" dxfId="411" priority="412" stopIfTrue="1" operator="lessThan">
      <formula>0.001</formula>
    </cfRule>
  </conditionalFormatting>
  <conditionalFormatting sqref="AP733">
    <cfRule type="cellIs" dxfId="410" priority="411" stopIfTrue="1" operator="lessThan">
      <formula>0.001</formula>
    </cfRule>
  </conditionalFormatting>
  <conditionalFormatting sqref="AP734:AP735">
    <cfRule type="cellIs" dxfId="409" priority="410" stopIfTrue="1" operator="lessThan">
      <formula>0.001</formula>
    </cfRule>
  </conditionalFormatting>
  <conditionalFormatting sqref="AP736">
    <cfRule type="cellIs" dxfId="408" priority="409" stopIfTrue="1" operator="lessThan">
      <formula>0.001</formula>
    </cfRule>
  </conditionalFormatting>
  <conditionalFormatting sqref="AP737:AP739">
    <cfRule type="cellIs" dxfId="407" priority="408" stopIfTrue="1" operator="lessThan">
      <formula>0.001</formula>
    </cfRule>
  </conditionalFormatting>
  <conditionalFormatting sqref="AQ681:AQ691 AQ694:AQ695 AQ698:AQ739">
    <cfRule type="cellIs" dxfId="406" priority="407" stopIfTrue="1" operator="lessThan">
      <formula>0.001</formula>
    </cfRule>
  </conditionalFormatting>
  <conditionalFormatting sqref="AQ681">
    <cfRule type="cellIs" dxfId="405" priority="406" stopIfTrue="1" operator="lessThan">
      <formula>0.001</formula>
    </cfRule>
  </conditionalFormatting>
  <conditionalFormatting sqref="AQ682">
    <cfRule type="cellIs" dxfId="404" priority="405" stopIfTrue="1" operator="lessThan">
      <formula>0.001</formula>
    </cfRule>
  </conditionalFormatting>
  <conditionalFormatting sqref="AQ683:AQ690">
    <cfRule type="cellIs" dxfId="403" priority="404" stopIfTrue="1" operator="lessThan">
      <formula>0.001</formula>
    </cfRule>
  </conditionalFormatting>
  <conditionalFormatting sqref="AQ691">
    <cfRule type="cellIs" dxfId="402" priority="403" stopIfTrue="1" operator="lessThan">
      <formula>0.001</formula>
    </cfRule>
  </conditionalFormatting>
  <conditionalFormatting sqref="AQ694">
    <cfRule type="cellIs" dxfId="401" priority="402" stopIfTrue="1" operator="lessThan">
      <formula>0.001</formula>
    </cfRule>
  </conditionalFormatting>
  <conditionalFormatting sqref="AQ695">
    <cfRule type="cellIs" dxfId="400" priority="401" stopIfTrue="1" operator="lessThan">
      <formula>0.001</formula>
    </cfRule>
  </conditionalFormatting>
  <conditionalFormatting sqref="AQ698">
    <cfRule type="cellIs" dxfId="399" priority="400" stopIfTrue="1" operator="lessThan">
      <formula>0.001</formula>
    </cfRule>
  </conditionalFormatting>
  <conditionalFormatting sqref="AQ699">
    <cfRule type="cellIs" dxfId="398" priority="399" stopIfTrue="1" operator="lessThan">
      <formula>0.001</formula>
    </cfRule>
  </conditionalFormatting>
  <conditionalFormatting sqref="AQ700">
    <cfRule type="cellIs" dxfId="397" priority="398" stopIfTrue="1" operator="lessThan">
      <formula>0.001</formula>
    </cfRule>
  </conditionalFormatting>
  <conditionalFormatting sqref="AQ701:AQ703">
    <cfRule type="cellIs" dxfId="396" priority="397" stopIfTrue="1" operator="lessThan">
      <formula>0.001</formula>
    </cfRule>
  </conditionalFormatting>
  <conditionalFormatting sqref="AQ704">
    <cfRule type="cellIs" dxfId="395" priority="396" stopIfTrue="1" operator="lessThan">
      <formula>0.001</formula>
    </cfRule>
  </conditionalFormatting>
  <conditionalFormatting sqref="AQ705">
    <cfRule type="cellIs" dxfId="394" priority="395" stopIfTrue="1" operator="lessThan">
      <formula>0.001</formula>
    </cfRule>
  </conditionalFormatting>
  <conditionalFormatting sqref="AQ707:AQ709">
    <cfRule type="cellIs" dxfId="393" priority="394" stopIfTrue="1" operator="lessThan">
      <formula>0.001</formula>
    </cfRule>
  </conditionalFormatting>
  <conditionalFormatting sqref="AQ706">
    <cfRule type="cellIs" dxfId="392" priority="393" stopIfTrue="1" operator="lessThan">
      <formula>0.001</formula>
    </cfRule>
  </conditionalFormatting>
  <conditionalFormatting sqref="AQ710">
    <cfRule type="cellIs" dxfId="391" priority="392" stopIfTrue="1" operator="lessThan">
      <formula>0.001</formula>
    </cfRule>
  </conditionalFormatting>
  <conditionalFormatting sqref="AQ711:AQ716">
    <cfRule type="cellIs" dxfId="390" priority="391" stopIfTrue="1" operator="lessThan">
      <formula>0.001</formula>
    </cfRule>
  </conditionalFormatting>
  <conditionalFormatting sqref="AQ717">
    <cfRule type="cellIs" dxfId="389" priority="390" stopIfTrue="1" operator="lessThan">
      <formula>0.001</formula>
    </cfRule>
  </conditionalFormatting>
  <conditionalFormatting sqref="AQ718:AQ720">
    <cfRule type="cellIs" dxfId="388" priority="389" stopIfTrue="1" operator="lessThan">
      <formula>0.001</formula>
    </cfRule>
  </conditionalFormatting>
  <conditionalFormatting sqref="AQ721">
    <cfRule type="cellIs" dxfId="387" priority="388" stopIfTrue="1" operator="lessThan">
      <formula>0.001</formula>
    </cfRule>
  </conditionalFormatting>
  <conditionalFormatting sqref="AQ722:AQ724">
    <cfRule type="cellIs" dxfId="386" priority="387" stopIfTrue="1" operator="lessThan">
      <formula>0.001</formula>
    </cfRule>
  </conditionalFormatting>
  <conditionalFormatting sqref="AQ725">
    <cfRule type="cellIs" dxfId="385" priority="386" stopIfTrue="1" operator="lessThan">
      <formula>0.001</formula>
    </cfRule>
  </conditionalFormatting>
  <conditionalFormatting sqref="AQ726">
    <cfRule type="cellIs" dxfId="384" priority="385" stopIfTrue="1" operator="lessThan">
      <formula>0.001</formula>
    </cfRule>
  </conditionalFormatting>
  <conditionalFormatting sqref="AQ727">
    <cfRule type="cellIs" dxfId="383" priority="384" stopIfTrue="1" operator="lessThan">
      <formula>0.001</formula>
    </cfRule>
  </conditionalFormatting>
  <conditionalFormatting sqref="AQ728:AQ730">
    <cfRule type="cellIs" dxfId="382" priority="383" stopIfTrue="1" operator="lessThan">
      <formula>0.001</formula>
    </cfRule>
  </conditionalFormatting>
  <conditionalFormatting sqref="AQ731">
    <cfRule type="cellIs" dxfId="381" priority="382" stopIfTrue="1" operator="lessThan">
      <formula>0.001</formula>
    </cfRule>
  </conditionalFormatting>
  <conditionalFormatting sqref="AQ732">
    <cfRule type="cellIs" dxfId="380" priority="381" stopIfTrue="1" operator="lessThan">
      <formula>0.001</formula>
    </cfRule>
  </conditionalFormatting>
  <conditionalFormatting sqref="AQ733">
    <cfRule type="cellIs" dxfId="379" priority="380" stopIfTrue="1" operator="lessThan">
      <formula>0.001</formula>
    </cfRule>
  </conditionalFormatting>
  <conditionalFormatting sqref="AQ734:AQ735">
    <cfRule type="cellIs" dxfId="378" priority="379" stopIfTrue="1" operator="lessThan">
      <formula>0.001</formula>
    </cfRule>
  </conditionalFormatting>
  <conditionalFormatting sqref="AQ736">
    <cfRule type="cellIs" dxfId="377" priority="378" stopIfTrue="1" operator="lessThan">
      <formula>0.001</formula>
    </cfRule>
  </conditionalFormatting>
  <conditionalFormatting sqref="AQ737:AQ739">
    <cfRule type="cellIs" dxfId="376" priority="377" stopIfTrue="1" operator="lessThan">
      <formula>0.001</formula>
    </cfRule>
  </conditionalFormatting>
  <conditionalFormatting sqref="AL681:AL691 AL694:AL695 AL698:AL739">
    <cfRule type="cellIs" dxfId="375" priority="376" stopIfTrue="1" operator="lessThan">
      <formula>0.001</formula>
    </cfRule>
  </conditionalFormatting>
  <conditionalFormatting sqref="AL681">
    <cfRule type="cellIs" dxfId="374" priority="375" stopIfTrue="1" operator="lessThan">
      <formula>0.001</formula>
    </cfRule>
  </conditionalFormatting>
  <conditionalFormatting sqref="AL682">
    <cfRule type="cellIs" dxfId="373" priority="374" stopIfTrue="1" operator="lessThan">
      <formula>0.001</formula>
    </cfRule>
  </conditionalFormatting>
  <conditionalFormatting sqref="AL683:AL690">
    <cfRule type="cellIs" dxfId="372" priority="373" stopIfTrue="1" operator="lessThan">
      <formula>0.001</formula>
    </cfRule>
  </conditionalFormatting>
  <conditionalFormatting sqref="AL691">
    <cfRule type="cellIs" dxfId="371" priority="372" stopIfTrue="1" operator="lessThan">
      <formula>0.001</formula>
    </cfRule>
  </conditionalFormatting>
  <conditionalFormatting sqref="AL694">
    <cfRule type="cellIs" dxfId="370" priority="371" stopIfTrue="1" operator="lessThan">
      <formula>0.001</formula>
    </cfRule>
  </conditionalFormatting>
  <conditionalFormatting sqref="AL695">
    <cfRule type="cellIs" dxfId="369" priority="370" stopIfTrue="1" operator="lessThan">
      <formula>0.001</formula>
    </cfRule>
  </conditionalFormatting>
  <conditionalFormatting sqref="AL698">
    <cfRule type="cellIs" dxfId="368" priority="369" stopIfTrue="1" operator="lessThan">
      <formula>0.001</formula>
    </cfRule>
  </conditionalFormatting>
  <conditionalFormatting sqref="AL699">
    <cfRule type="cellIs" dxfId="367" priority="368" stopIfTrue="1" operator="lessThan">
      <formula>0.001</formula>
    </cfRule>
  </conditionalFormatting>
  <conditionalFormatting sqref="AL700">
    <cfRule type="cellIs" dxfId="366" priority="367" stopIfTrue="1" operator="lessThan">
      <formula>0.001</formula>
    </cfRule>
  </conditionalFormatting>
  <conditionalFormatting sqref="AL701:AL703">
    <cfRule type="cellIs" dxfId="365" priority="366" stopIfTrue="1" operator="lessThan">
      <formula>0.001</formula>
    </cfRule>
  </conditionalFormatting>
  <conditionalFormatting sqref="AL704">
    <cfRule type="cellIs" dxfId="364" priority="365" stopIfTrue="1" operator="lessThan">
      <formula>0.001</formula>
    </cfRule>
  </conditionalFormatting>
  <conditionalFormatting sqref="AL705">
    <cfRule type="cellIs" dxfId="363" priority="364" stopIfTrue="1" operator="lessThan">
      <formula>0.001</formula>
    </cfRule>
  </conditionalFormatting>
  <conditionalFormatting sqref="AL707:AL709">
    <cfRule type="cellIs" dxfId="362" priority="363" stopIfTrue="1" operator="lessThan">
      <formula>0.001</formula>
    </cfRule>
  </conditionalFormatting>
  <conditionalFormatting sqref="AL706">
    <cfRule type="cellIs" dxfId="361" priority="362" stopIfTrue="1" operator="lessThan">
      <formula>0.001</formula>
    </cfRule>
  </conditionalFormatting>
  <conditionalFormatting sqref="AL710">
    <cfRule type="cellIs" dxfId="360" priority="361" stopIfTrue="1" operator="lessThan">
      <formula>0.001</formula>
    </cfRule>
  </conditionalFormatting>
  <conditionalFormatting sqref="AL711:AL716">
    <cfRule type="cellIs" dxfId="359" priority="360" stopIfTrue="1" operator="lessThan">
      <formula>0.001</formula>
    </cfRule>
  </conditionalFormatting>
  <conditionalFormatting sqref="AL717">
    <cfRule type="cellIs" dxfId="358" priority="359" stopIfTrue="1" operator="lessThan">
      <formula>0.001</formula>
    </cfRule>
  </conditionalFormatting>
  <conditionalFormatting sqref="AL718:AL720">
    <cfRule type="cellIs" dxfId="357" priority="358" stopIfTrue="1" operator="lessThan">
      <formula>0.001</formula>
    </cfRule>
  </conditionalFormatting>
  <conditionalFormatting sqref="AL721">
    <cfRule type="cellIs" dxfId="356" priority="357" stopIfTrue="1" operator="lessThan">
      <formula>0.001</formula>
    </cfRule>
  </conditionalFormatting>
  <conditionalFormatting sqref="AL722:AL724">
    <cfRule type="cellIs" dxfId="355" priority="356" stopIfTrue="1" operator="lessThan">
      <formula>0.001</formula>
    </cfRule>
  </conditionalFormatting>
  <conditionalFormatting sqref="AL725">
    <cfRule type="cellIs" dxfId="354" priority="355" stopIfTrue="1" operator="lessThan">
      <formula>0.001</formula>
    </cfRule>
  </conditionalFormatting>
  <conditionalFormatting sqref="AL726">
    <cfRule type="cellIs" dxfId="353" priority="354" stopIfTrue="1" operator="lessThan">
      <formula>0.001</formula>
    </cfRule>
  </conditionalFormatting>
  <conditionalFormatting sqref="AL727">
    <cfRule type="cellIs" dxfId="352" priority="353" stopIfTrue="1" operator="lessThan">
      <formula>0.001</formula>
    </cfRule>
  </conditionalFormatting>
  <conditionalFormatting sqref="AL728:AL730">
    <cfRule type="cellIs" dxfId="351" priority="352" stopIfTrue="1" operator="lessThan">
      <formula>0.001</formula>
    </cfRule>
  </conditionalFormatting>
  <conditionalFormatting sqref="AL731">
    <cfRule type="cellIs" dxfId="350" priority="351" stopIfTrue="1" operator="lessThan">
      <formula>0.001</formula>
    </cfRule>
  </conditionalFormatting>
  <conditionalFormatting sqref="AL732">
    <cfRule type="cellIs" dxfId="349" priority="350" stopIfTrue="1" operator="lessThan">
      <formula>0.001</formula>
    </cfRule>
  </conditionalFormatting>
  <conditionalFormatting sqref="AL733">
    <cfRule type="cellIs" dxfId="348" priority="349" stopIfTrue="1" operator="lessThan">
      <formula>0.001</formula>
    </cfRule>
  </conditionalFormatting>
  <conditionalFormatting sqref="AL734:AL735">
    <cfRule type="cellIs" dxfId="347" priority="348" stopIfTrue="1" operator="lessThan">
      <formula>0.001</formula>
    </cfRule>
  </conditionalFormatting>
  <conditionalFormatting sqref="AL736">
    <cfRule type="cellIs" dxfId="346" priority="347" stopIfTrue="1" operator="lessThan">
      <formula>0.001</formula>
    </cfRule>
  </conditionalFormatting>
  <conditionalFormatting sqref="AL737:AL739">
    <cfRule type="cellIs" dxfId="345" priority="346" stopIfTrue="1" operator="lessThan">
      <formula>0.001</formula>
    </cfRule>
  </conditionalFormatting>
  <conditionalFormatting sqref="AM681:AM691 AM694:AM695 AM698:AM739">
    <cfRule type="cellIs" dxfId="344" priority="345" stopIfTrue="1" operator="lessThan">
      <formula>0.001</formula>
    </cfRule>
  </conditionalFormatting>
  <conditionalFormatting sqref="AM681">
    <cfRule type="cellIs" dxfId="343" priority="344" stopIfTrue="1" operator="lessThan">
      <formula>0.001</formula>
    </cfRule>
  </conditionalFormatting>
  <conditionalFormatting sqref="AM682">
    <cfRule type="cellIs" dxfId="342" priority="343" stopIfTrue="1" operator="lessThan">
      <formula>0.001</formula>
    </cfRule>
  </conditionalFormatting>
  <conditionalFormatting sqref="AM683:AM690">
    <cfRule type="cellIs" dxfId="341" priority="342" stopIfTrue="1" operator="lessThan">
      <formula>0.001</formula>
    </cfRule>
  </conditionalFormatting>
  <conditionalFormatting sqref="AM691">
    <cfRule type="cellIs" dxfId="340" priority="341" stopIfTrue="1" operator="lessThan">
      <formula>0.001</formula>
    </cfRule>
  </conditionalFormatting>
  <conditionalFormatting sqref="AM694">
    <cfRule type="cellIs" dxfId="339" priority="340" stopIfTrue="1" operator="lessThan">
      <formula>0.001</formula>
    </cfRule>
  </conditionalFormatting>
  <conditionalFormatting sqref="AM695">
    <cfRule type="cellIs" dxfId="338" priority="339" stopIfTrue="1" operator="lessThan">
      <formula>0.001</formula>
    </cfRule>
  </conditionalFormatting>
  <conditionalFormatting sqref="AM698">
    <cfRule type="cellIs" dxfId="337" priority="338" stopIfTrue="1" operator="lessThan">
      <formula>0.001</formula>
    </cfRule>
  </conditionalFormatting>
  <conditionalFormatting sqref="AM699">
    <cfRule type="cellIs" dxfId="336" priority="337" stopIfTrue="1" operator="lessThan">
      <formula>0.001</formula>
    </cfRule>
  </conditionalFormatting>
  <conditionalFormatting sqref="AM700">
    <cfRule type="cellIs" dxfId="335" priority="336" stopIfTrue="1" operator="lessThan">
      <formula>0.001</formula>
    </cfRule>
  </conditionalFormatting>
  <conditionalFormatting sqref="AM701:AM703">
    <cfRule type="cellIs" dxfId="334" priority="335" stopIfTrue="1" operator="lessThan">
      <formula>0.001</formula>
    </cfRule>
  </conditionalFormatting>
  <conditionalFormatting sqref="AM704">
    <cfRule type="cellIs" dxfId="333" priority="334" stopIfTrue="1" operator="lessThan">
      <formula>0.001</formula>
    </cfRule>
  </conditionalFormatting>
  <conditionalFormatting sqref="AM705">
    <cfRule type="cellIs" dxfId="332" priority="333" stopIfTrue="1" operator="lessThan">
      <formula>0.001</formula>
    </cfRule>
  </conditionalFormatting>
  <conditionalFormatting sqref="AM707:AM709">
    <cfRule type="cellIs" dxfId="331" priority="332" stopIfTrue="1" operator="lessThan">
      <formula>0.001</formula>
    </cfRule>
  </conditionalFormatting>
  <conditionalFormatting sqref="AM706">
    <cfRule type="cellIs" dxfId="330" priority="331" stopIfTrue="1" operator="lessThan">
      <formula>0.001</formula>
    </cfRule>
  </conditionalFormatting>
  <conditionalFormatting sqref="AM710">
    <cfRule type="cellIs" dxfId="329" priority="330" stopIfTrue="1" operator="lessThan">
      <formula>0.001</formula>
    </cfRule>
  </conditionalFormatting>
  <conditionalFormatting sqref="AM711:AM716">
    <cfRule type="cellIs" dxfId="328" priority="329" stopIfTrue="1" operator="lessThan">
      <formula>0.001</formula>
    </cfRule>
  </conditionalFormatting>
  <conditionalFormatting sqref="AM717">
    <cfRule type="cellIs" dxfId="327" priority="328" stopIfTrue="1" operator="lessThan">
      <formula>0.001</formula>
    </cfRule>
  </conditionalFormatting>
  <conditionalFormatting sqref="AM718:AM720">
    <cfRule type="cellIs" dxfId="326" priority="327" stopIfTrue="1" operator="lessThan">
      <formula>0.001</formula>
    </cfRule>
  </conditionalFormatting>
  <conditionalFormatting sqref="AM721">
    <cfRule type="cellIs" dxfId="325" priority="326" stopIfTrue="1" operator="lessThan">
      <formula>0.001</formula>
    </cfRule>
  </conditionalFormatting>
  <conditionalFormatting sqref="AM722:AM724">
    <cfRule type="cellIs" dxfId="324" priority="325" stopIfTrue="1" operator="lessThan">
      <formula>0.001</formula>
    </cfRule>
  </conditionalFormatting>
  <conditionalFormatting sqref="AM725">
    <cfRule type="cellIs" dxfId="323" priority="324" stopIfTrue="1" operator="lessThan">
      <formula>0.001</formula>
    </cfRule>
  </conditionalFormatting>
  <conditionalFormatting sqref="AM726">
    <cfRule type="cellIs" dxfId="322" priority="323" stopIfTrue="1" operator="lessThan">
      <formula>0.001</formula>
    </cfRule>
  </conditionalFormatting>
  <conditionalFormatting sqref="AM727">
    <cfRule type="cellIs" dxfId="321" priority="322" stopIfTrue="1" operator="lessThan">
      <formula>0.001</formula>
    </cfRule>
  </conditionalFormatting>
  <conditionalFormatting sqref="AM728:AM730">
    <cfRule type="cellIs" dxfId="320" priority="321" stopIfTrue="1" operator="lessThan">
      <formula>0.001</formula>
    </cfRule>
  </conditionalFormatting>
  <conditionalFormatting sqref="AM731">
    <cfRule type="cellIs" dxfId="319" priority="320" stopIfTrue="1" operator="lessThan">
      <formula>0.001</formula>
    </cfRule>
  </conditionalFormatting>
  <conditionalFormatting sqref="AM732">
    <cfRule type="cellIs" dxfId="318" priority="319" stopIfTrue="1" operator="lessThan">
      <formula>0.001</formula>
    </cfRule>
  </conditionalFormatting>
  <conditionalFormatting sqref="AM733">
    <cfRule type="cellIs" dxfId="317" priority="318" stopIfTrue="1" operator="lessThan">
      <formula>0.001</formula>
    </cfRule>
  </conditionalFormatting>
  <conditionalFormatting sqref="AM734:AM735">
    <cfRule type="cellIs" dxfId="316" priority="317" stopIfTrue="1" operator="lessThan">
      <formula>0.001</formula>
    </cfRule>
  </conditionalFormatting>
  <conditionalFormatting sqref="AM736">
    <cfRule type="cellIs" dxfId="315" priority="316" stopIfTrue="1" operator="lessThan">
      <formula>0.001</formula>
    </cfRule>
  </conditionalFormatting>
  <conditionalFormatting sqref="AM737:AM739">
    <cfRule type="cellIs" dxfId="314" priority="315" stopIfTrue="1" operator="lessThan">
      <formula>0.001</formula>
    </cfRule>
  </conditionalFormatting>
  <conditionalFormatting sqref="AN681:AN691 AN694:AN695 AN698:AN739">
    <cfRule type="cellIs" dxfId="313" priority="314" stopIfTrue="1" operator="lessThan">
      <formula>0.001</formula>
    </cfRule>
  </conditionalFormatting>
  <conditionalFormatting sqref="AN681">
    <cfRule type="cellIs" dxfId="312" priority="313" stopIfTrue="1" operator="lessThan">
      <formula>0.001</formula>
    </cfRule>
  </conditionalFormatting>
  <conditionalFormatting sqref="AN682">
    <cfRule type="cellIs" dxfId="311" priority="312" stopIfTrue="1" operator="lessThan">
      <formula>0.001</formula>
    </cfRule>
  </conditionalFormatting>
  <conditionalFormatting sqref="AN683:AN690">
    <cfRule type="cellIs" dxfId="310" priority="311" stopIfTrue="1" operator="lessThan">
      <formula>0.001</formula>
    </cfRule>
  </conditionalFormatting>
  <conditionalFormatting sqref="AN691">
    <cfRule type="cellIs" dxfId="309" priority="310" stopIfTrue="1" operator="lessThan">
      <formula>0.001</formula>
    </cfRule>
  </conditionalFormatting>
  <conditionalFormatting sqref="AN694">
    <cfRule type="cellIs" dxfId="308" priority="309" stopIfTrue="1" operator="lessThan">
      <formula>0.001</formula>
    </cfRule>
  </conditionalFormatting>
  <conditionalFormatting sqref="AN695">
    <cfRule type="cellIs" dxfId="307" priority="308" stopIfTrue="1" operator="lessThan">
      <formula>0.001</formula>
    </cfRule>
  </conditionalFormatting>
  <conditionalFormatting sqref="AN698">
    <cfRule type="cellIs" dxfId="306" priority="307" stopIfTrue="1" operator="lessThan">
      <formula>0.001</formula>
    </cfRule>
  </conditionalFormatting>
  <conditionalFormatting sqref="AN699">
    <cfRule type="cellIs" dxfId="305" priority="306" stopIfTrue="1" operator="lessThan">
      <formula>0.001</formula>
    </cfRule>
  </conditionalFormatting>
  <conditionalFormatting sqref="AN700">
    <cfRule type="cellIs" dxfId="304" priority="305" stopIfTrue="1" operator="lessThan">
      <formula>0.001</formula>
    </cfRule>
  </conditionalFormatting>
  <conditionalFormatting sqref="AN701:AN703">
    <cfRule type="cellIs" dxfId="303" priority="304" stopIfTrue="1" operator="lessThan">
      <formula>0.001</formula>
    </cfRule>
  </conditionalFormatting>
  <conditionalFormatting sqref="AN704">
    <cfRule type="cellIs" dxfId="302" priority="303" stopIfTrue="1" operator="lessThan">
      <formula>0.001</formula>
    </cfRule>
  </conditionalFormatting>
  <conditionalFormatting sqref="AN705">
    <cfRule type="cellIs" dxfId="301" priority="302" stopIfTrue="1" operator="lessThan">
      <formula>0.001</formula>
    </cfRule>
  </conditionalFormatting>
  <conditionalFormatting sqref="AN707:AN709">
    <cfRule type="cellIs" dxfId="300" priority="301" stopIfTrue="1" operator="lessThan">
      <formula>0.001</formula>
    </cfRule>
  </conditionalFormatting>
  <conditionalFormatting sqref="AN706">
    <cfRule type="cellIs" dxfId="299" priority="300" stopIfTrue="1" operator="lessThan">
      <formula>0.001</formula>
    </cfRule>
  </conditionalFormatting>
  <conditionalFormatting sqref="AN710">
    <cfRule type="cellIs" dxfId="298" priority="299" stopIfTrue="1" operator="lessThan">
      <formula>0.001</formula>
    </cfRule>
  </conditionalFormatting>
  <conditionalFormatting sqref="AN711:AN716">
    <cfRule type="cellIs" dxfId="297" priority="298" stopIfTrue="1" operator="lessThan">
      <formula>0.001</formula>
    </cfRule>
  </conditionalFormatting>
  <conditionalFormatting sqref="AN717">
    <cfRule type="cellIs" dxfId="296" priority="297" stopIfTrue="1" operator="lessThan">
      <formula>0.001</formula>
    </cfRule>
  </conditionalFormatting>
  <conditionalFormatting sqref="AN718:AN720">
    <cfRule type="cellIs" dxfId="295" priority="296" stopIfTrue="1" operator="lessThan">
      <formula>0.001</formula>
    </cfRule>
  </conditionalFormatting>
  <conditionalFormatting sqref="AN721">
    <cfRule type="cellIs" dxfId="294" priority="295" stopIfTrue="1" operator="lessThan">
      <formula>0.001</formula>
    </cfRule>
  </conditionalFormatting>
  <conditionalFormatting sqref="AN722:AN724">
    <cfRule type="cellIs" dxfId="293" priority="294" stopIfTrue="1" operator="lessThan">
      <formula>0.001</formula>
    </cfRule>
  </conditionalFormatting>
  <conditionalFormatting sqref="AN725">
    <cfRule type="cellIs" dxfId="292" priority="293" stopIfTrue="1" operator="lessThan">
      <formula>0.001</formula>
    </cfRule>
  </conditionalFormatting>
  <conditionalFormatting sqref="AN726">
    <cfRule type="cellIs" dxfId="291" priority="292" stopIfTrue="1" operator="lessThan">
      <formula>0.001</formula>
    </cfRule>
  </conditionalFormatting>
  <conditionalFormatting sqref="AN727">
    <cfRule type="cellIs" dxfId="290" priority="291" stopIfTrue="1" operator="lessThan">
      <formula>0.001</formula>
    </cfRule>
  </conditionalFormatting>
  <conditionalFormatting sqref="AN728:AN730">
    <cfRule type="cellIs" dxfId="289" priority="290" stopIfTrue="1" operator="lessThan">
      <formula>0.001</formula>
    </cfRule>
  </conditionalFormatting>
  <conditionalFormatting sqref="AN731">
    <cfRule type="cellIs" dxfId="288" priority="289" stopIfTrue="1" operator="lessThan">
      <formula>0.001</formula>
    </cfRule>
  </conditionalFormatting>
  <conditionalFormatting sqref="AN732">
    <cfRule type="cellIs" dxfId="287" priority="288" stopIfTrue="1" operator="lessThan">
      <formula>0.001</formula>
    </cfRule>
  </conditionalFormatting>
  <conditionalFormatting sqref="AN733">
    <cfRule type="cellIs" dxfId="286" priority="287" stopIfTrue="1" operator="lessThan">
      <formula>0.001</formula>
    </cfRule>
  </conditionalFormatting>
  <conditionalFormatting sqref="AN734:AN735">
    <cfRule type="cellIs" dxfId="285" priority="286" stopIfTrue="1" operator="lessThan">
      <formula>0.001</formula>
    </cfRule>
  </conditionalFormatting>
  <conditionalFormatting sqref="AN736">
    <cfRule type="cellIs" dxfId="284" priority="285" stopIfTrue="1" operator="lessThan">
      <formula>0.001</formula>
    </cfRule>
  </conditionalFormatting>
  <conditionalFormatting sqref="AN737:AN739">
    <cfRule type="cellIs" dxfId="283" priority="284" stopIfTrue="1" operator="lessThan">
      <formula>0.001</formula>
    </cfRule>
  </conditionalFormatting>
  <conditionalFormatting sqref="AL681:AN691 AL694:AN695 AL698:AN739">
    <cfRule type="cellIs" dxfId="282" priority="283" stopIfTrue="1" operator="lessThan">
      <formula>0.001</formula>
    </cfRule>
  </conditionalFormatting>
  <conditionalFormatting sqref="AL681:AL691 AL694:AL695 AL698:AL739">
    <cfRule type="cellIs" dxfId="281" priority="282" stopIfTrue="1" operator="lessThan">
      <formula>0.001</formula>
    </cfRule>
  </conditionalFormatting>
  <conditionalFormatting sqref="AL681">
    <cfRule type="cellIs" dxfId="280" priority="281" stopIfTrue="1" operator="lessThan">
      <formula>0.001</formula>
    </cfRule>
  </conditionalFormatting>
  <conditionalFormatting sqref="AL682">
    <cfRule type="cellIs" dxfId="279" priority="280" stopIfTrue="1" operator="lessThan">
      <formula>0.001</formula>
    </cfRule>
  </conditionalFormatting>
  <conditionalFormatting sqref="AL683:AL690">
    <cfRule type="cellIs" dxfId="278" priority="279" stopIfTrue="1" operator="lessThan">
      <formula>0.001</formula>
    </cfRule>
  </conditionalFormatting>
  <conditionalFormatting sqref="AL691">
    <cfRule type="cellIs" dxfId="277" priority="278" stopIfTrue="1" operator="lessThan">
      <formula>0.001</formula>
    </cfRule>
  </conditionalFormatting>
  <conditionalFormatting sqref="AL694">
    <cfRule type="cellIs" dxfId="276" priority="277" stopIfTrue="1" operator="lessThan">
      <formula>0.001</formula>
    </cfRule>
  </conditionalFormatting>
  <conditionalFormatting sqref="AL695">
    <cfRule type="cellIs" dxfId="275" priority="276" stopIfTrue="1" operator="lessThan">
      <formula>0.001</formula>
    </cfRule>
  </conditionalFormatting>
  <conditionalFormatting sqref="AL698">
    <cfRule type="cellIs" dxfId="274" priority="275" stopIfTrue="1" operator="lessThan">
      <formula>0.001</formula>
    </cfRule>
  </conditionalFormatting>
  <conditionalFormatting sqref="AL699">
    <cfRule type="cellIs" dxfId="273" priority="274" stopIfTrue="1" operator="lessThan">
      <formula>0.001</formula>
    </cfRule>
  </conditionalFormatting>
  <conditionalFormatting sqref="AL700">
    <cfRule type="cellIs" dxfId="272" priority="273" stopIfTrue="1" operator="lessThan">
      <formula>0.001</formula>
    </cfRule>
  </conditionalFormatting>
  <conditionalFormatting sqref="AL701:AL703">
    <cfRule type="cellIs" dxfId="271" priority="272" stopIfTrue="1" operator="lessThan">
      <formula>0.001</formula>
    </cfRule>
  </conditionalFormatting>
  <conditionalFormatting sqref="AL704">
    <cfRule type="cellIs" dxfId="270" priority="271" stopIfTrue="1" operator="lessThan">
      <formula>0.001</formula>
    </cfRule>
  </conditionalFormatting>
  <conditionalFormatting sqref="AL705">
    <cfRule type="cellIs" dxfId="269" priority="270" stopIfTrue="1" operator="lessThan">
      <formula>0.001</formula>
    </cfRule>
  </conditionalFormatting>
  <conditionalFormatting sqref="AL707:AL709">
    <cfRule type="cellIs" dxfId="268" priority="269" stopIfTrue="1" operator="lessThan">
      <formula>0.001</formula>
    </cfRule>
  </conditionalFormatting>
  <conditionalFormatting sqref="AL706">
    <cfRule type="cellIs" dxfId="267" priority="268" stopIfTrue="1" operator="lessThan">
      <formula>0.001</formula>
    </cfRule>
  </conditionalFormatting>
  <conditionalFormatting sqref="AL710">
    <cfRule type="cellIs" dxfId="266" priority="267" stopIfTrue="1" operator="lessThan">
      <formula>0.001</formula>
    </cfRule>
  </conditionalFormatting>
  <conditionalFormatting sqref="AL711:AL716">
    <cfRule type="cellIs" dxfId="265" priority="266" stopIfTrue="1" operator="lessThan">
      <formula>0.001</formula>
    </cfRule>
  </conditionalFormatting>
  <conditionalFormatting sqref="AL717">
    <cfRule type="cellIs" dxfId="264" priority="265" stopIfTrue="1" operator="lessThan">
      <formula>0.001</formula>
    </cfRule>
  </conditionalFormatting>
  <conditionalFormatting sqref="AL718:AL720">
    <cfRule type="cellIs" dxfId="263" priority="264" stopIfTrue="1" operator="lessThan">
      <formula>0.001</formula>
    </cfRule>
  </conditionalFormatting>
  <conditionalFormatting sqref="AL721">
    <cfRule type="cellIs" dxfId="262" priority="263" stopIfTrue="1" operator="lessThan">
      <formula>0.001</formula>
    </cfRule>
  </conditionalFormatting>
  <conditionalFormatting sqref="AL722:AL724">
    <cfRule type="cellIs" dxfId="261" priority="262" stopIfTrue="1" operator="lessThan">
      <formula>0.001</formula>
    </cfRule>
  </conditionalFormatting>
  <conditionalFormatting sqref="AL725">
    <cfRule type="cellIs" dxfId="260" priority="261" stopIfTrue="1" operator="lessThan">
      <formula>0.001</formula>
    </cfRule>
  </conditionalFormatting>
  <conditionalFormatting sqref="AL726">
    <cfRule type="cellIs" dxfId="259" priority="260" stopIfTrue="1" operator="lessThan">
      <formula>0.001</formula>
    </cfRule>
  </conditionalFormatting>
  <conditionalFormatting sqref="AL727">
    <cfRule type="cellIs" dxfId="258" priority="259" stopIfTrue="1" operator="lessThan">
      <formula>0.001</formula>
    </cfRule>
  </conditionalFormatting>
  <conditionalFormatting sqref="AL728:AL730">
    <cfRule type="cellIs" dxfId="257" priority="258" stopIfTrue="1" operator="lessThan">
      <formula>0.001</formula>
    </cfRule>
  </conditionalFormatting>
  <conditionalFormatting sqref="AL731">
    <cfRule type="cellIs" dxfId="256" priority="257" stopIfTrue="1" operator="lessThan">
      <formula>0.001</formula>
    </cfRule>
  </conditionalFormatting>
  <conditionalFormatting sqref="AL732">
    <cfRule type="cellIs" dxfId="255" priority="256" stopIfTrue="1" operator="lessThan">
      <formula>0.001</formula>
    </cfRule>
  </conditionalFormatting>
  <conditionalFormatting sqref="AL733">
    <cfRule type="cellIs" dxfId="254" priority="255" stopIfTrue="1" operator="lessThan">
      <formula>0.001</formula>
    </cfRule>
  </conditionalFormatting>
  <conditionalFormatting sqref="AL734:AL735">
    <cfRule type="cellIs" dxfId="253" priority="254" stopIfTrue="1" operator="lessThan">
      <formula>0.001</formula>
    </cfRule>
  </conditionalFormatting>
  <conditionalFormatting sqref="AL736">
    <cfRule type="cellIs" dxfId="252" priority="253" stopIfTrue="1" operator="lessThan">
      <formula>0.001</formula>
    </cfRule>
  </conditionalFormatting>
  <conditionalFormatting sqref="AL737:AL739">
    <cfRule type="cellIs" dxfId="251" priority="252" stopIfTrue="1" operator="lessThan">
      <formula>0.001</formula>
    </cfRule>
  </conditionalFormatting>
  <conditionalFormatting sqref="AM681:AM691 AM694:AM695 AM698:AM739">
    <cfRule type="cellIs" dxfId="250" priority="251" stopIfTrue="1" operator="lessThan">
      <formula>0.001</formula>
    </cfRule>
  </conditionalFormatting>
  <conditionalFormatting sqref="AM681">
    <cfRule type="cellIs" dxfId="249" priority="250" stopIfTrue="1" operator="lessThan">
      <formula>0.001</formula>
    </cfRule>
  </conditionalFormatting>
  <conditionalFormatting sqref="AM682">
    <cfRule type="cellIs" dxfId="248" priority="249" stopIfTrue="1" operator="lessThan">
      <formula>0.001</formula>
    </cfRule>
  </conditionalFormatting>
  <conditionalFormatting sqref="AM683:AM690">
    <cfRule type="cellIs" dxfId="247" priority="248" stopIfTrue="1" operator="lessThan">
      <formula>0.001</formula>
    </cfRule>
  </conditionalFormatting>
  <conditionalFormatting sqref="AM691">
    <cfRule type="cellIs" dxfId="246" priority="247" stopIfTrue="1" operator="lessThan">
      <formula>0.001</formula>
    </cfRule>
  </conditionalFormatting>
  <conditionalFormatting sqref="AM694">
    <cfRule type="cellIs" dxfId="245" priority="246" stopIfTrue="1" operator="lessThan">
      <formula>0.001</formula>
    </cfRule>
  </conditionalFormatting>
  <conditionalFormatting sqref="AM695">
    <cfRule type="cellIs" dxfId="244" priority="245" stopIfTrue="1" operator="lessThan">
      <formula>0.001</formula>
    </cfRule>
  </conditionalFormatting>
  <conditionalFormatting sqref="AM698">
    <cfRule type="cellIs" dxfId="243" priority="244" stopIfTrue="1" operator="lessThan">
      <formula>0.001</formula>
    </cfRule>
  </conditionalFormatting>
  <conditionalFormatting sqref="AM699">
    <cfRule type="cellIs" dxfId="242" priority="243" stopIfTrue="1" operator="lessThan">
      <formula>0.001</formula>
    </cfRule>
  </conditionalFormatting>
  <conditionalFormatting sqref="AM700">
    <cfRule type="cellIs" dxfId="241" priority="242" stopIfTrue="1" operator="lessThan">
      <formula>0.001</formula>
    </cfRule>
  </conditionalFormatting>
  <conditionalFormatting sqref="AM701:AM703">
    <cfRule type="cellIs" dxfId="240" priority="241" stopIfTrue="1" operator="lessThan">
      <formula>0.001</formula>
    </cfRule>
  </conditionalFormatting>
  <conditionalFormatting sqref="AM704">
    <cfRule type="cellIs" dxfId="239" priority="240" stopIfTrue="1" operator="lessThan">
      <formula>0.001</formula>
    </cfRule>
  </conditionalFormatting>
  <conditionalFormatting sqref="AM705">
    <cfRule type="cellIs" dxfId="238" priority="239" stopIfTrue="1" operator="lessThan">
      <formula>0.001</formula>
    </cfRule>
  </conditionalFormatting>
  <conditionalFormatting sqref="AM707:AM709">
    <cfRule type="cellIs" dxfId="237" priority="238" stopIfTrue="1" operator="lessThan">
      <formula>0.001</formula>
    </cfRule>
  </conditionalFormatting>
  <conditionalFormatting sqref="AM706">
    <cfRule type="cellIs" dxfId="236" priority="237" stopIfTrue="1" operator="lessThan">
      <formula>0.001</formula>
    </cfRule>
  </conditionalFormatting>
  <conditionalFormatting sqref="AM710">
    <cfRule type="cellIs" dxfId="235" priority="236" stopIfTrue="1" operator="lessThan">
      <formula>0.001</formula>
    </cfRule>
  </conditionalFormatting>
  <conditionalFormatting sqref="AM711:AM716">
    <cfRule type="cellIs" dxfId="234" priority="235" stopIfTrue="1" operator="lessThan">
      <formula>0.001</formula>
    </cfRule>
  </conditionalFormatting>
  <conditionalFormatting sqref="AM717">
    <cfRule type="cellIs" dxfId="233" priority="234" stopIfTrue="1" operator="lessThan">
      <formula>0.001</formula>
    </cfRule>
  </conditionalFormatting>
  <conditionalFormatting sqref="AM718:AM720">
    <cfRule type="cellIs" dxfId="232" priority="233" stopIfTrue="1" operator="lessThan">
      <formula>0.001</formula>
    </cfRule>
  </conditionalFormatting>
  <conditionalFormatting sqref="AM721">
    <cfRule type="cellIs" dxfId="231" priority="232" stopIfTrue="1" operator="lessThan">
      <formula>0.001</formula>
    </cfRule>
  </conditionalFormatting>
  <conditionalFormatting sqref="AM722:AM724">
    <cfRule type="cellIs" dxfId="230" priority="231" stopIfTrue="1" operator="lessThan">
      <formula>0.001</formula>
    </cfRule>
  </conditionalFormatting>
  <conditionalFormatting sqref="AM725">
    <cfRule type="cellIs" dxfId="229" priority="230" stopIfTrue="1" operator="lessThan">
      <formula>0.001</formula>
    </cfRule>
  </conditionalFormatting>
  <conditionalFormatting sqref="AM726">
    <cfRule type="cellIs" dxfId="228" priority="229" stopIfTrue="1" operator="lessThan">
      <formula>0.001</formula>
    </cfRule>
  </conditionalFormatting>
  <conditionalFormatting sqref="AM727">
    <cfRule type="cellIs" dxfId="227" priority="228" stopIfTrue="1" operator="lessThan">
      <formula>0.001</formula>
    </cfRule>
  </conditionalFormatting>
  <conditionalFormatting sqref="AM728:AM730">
    <cfRule type="cellIs" dxfId="226" priority="227" stopIfTrue="1" operator="lessThan">
      <formula>0.001</formula>
    </cfRule>
  </conditionalFormatting>
  <conditionalFormatting sqref="AM731">
    <cfRule type="cellIs" dxfId="225" priority="226" stopIfTrue="1" operator="lessThan">
      <formula>0.001</formula>
    </cfRule>
  </conditionalFormatting>
  <conditionalFormatting sqref="AM732">
    <cfRule type="cellIs" dxfId="224" priority="225" stopIfTrue="1" operator="lessThan">
      <formula>0.001</formula>
    </cfRule>
  </conditionalFormatting>
  <conditionalFormatting sqref="AM733">
    <cfRule type="cellIs" dxfId="223" priority="224" stopIfTrue="1" operator="lessThan">
      <formula>0.001</formula>
    </cfRule>
  </conditionalFormatting>
  <conditionalFormatting sqref="AM734:AM735">
    <cfRule type="cellIs" dxfId="222" priority="223" stopIfTrue="1" operator="lessThan">
      <formula>0.001</formula>
    </cfRule>
  </conditionalFormatting>
  <conditionalFormatting sqref="AM736">
    <cfRule type="cellIs" dxfId="221" priority="222" stopIfTrue="1" operator="lessThan">
      <formula>0.001</formula>
    </cfRule>
  </conditionalFormatting>
  <conditionalFormatting sqref="AM737:AM739">
    <cfRule type="cellIs" dxfId="220" priority="221" stopIfTrue="1" operator="lessThan">
      <formula>0.001</formula>
    </cfRule>
  </conditionalFormatting>
  <conditionalFormatting sqref="AN681:AN691 AN694:AN695 AN698:AN739">
    <cfRule type="cellIs" dxfId="219" priority="220" stopIfTrue="1" operator="lessThan">
      <formula>0.001</formula>
    </cfRule>
  </conditionalFormatting>
  <conditionalFormatting sqref="AN681">
    <cfRule type="cellIs" dxfId="218" priority="219" stopIfTrue="1" operator="lessThan">
      <formula>0.001</formula>
    </cfRule>
  </conditionalFormatting>
  <conditionalFormatting sqref="AN682">
    <cfRule type="cellIs" dxfId="217" priority="218" stopIfTrue="1" operator="lessThan">
      <formula>0.001</formula>
    </cfRule>
  </conditionalFormatting>
  <conditionalFormatting sqref="AN683:AN690">
    <cfRule type="cellIs" dxfId="216" priority="217" stopIfTrue="1" operator="lessThan">
      <formula>0.001</formula>
    </cfRule>
  </conditionalFormatting>
  <conditionalFormatting sqref="AN691">
    <cfRule type="cellIs" dxfId="215" priority="216" stopIfTrue="1" operator="lessThan">
      <formula>0.001</formula>
    </cfRule>
  </conditionalFormatting>
  <conditionalFormatting sqref="AN694">
    <cfRule type="cellIs" dxfId="214" priority="215" stopIfTrue="1" operator="lessThan">
      <formula>0.001</formula>
    </cfRule>
  </conditionalFormatting>
  <conditionalFormatting sqref="AN695">
    <cfRule type="cellIs" dxfId="213" priority="214" stopIfTrue="1" operator="lessThan">
      <formula>0.001</formula>
    </cfRule>
  </conditionalFormatting>
  <conditionalFormatting sqref="AN698">
    <cfRule type="cellIs" dxfId="212" priority="213" stopIfTrue="1" operator="lessThan">
      <formula>0.001</formula>
    </cfRule>
  </conditionalFormatting>
  <conditionalFormatting sqref="AN699">
    <cfRule type="cellIs" dxfId="211" priority="212" stopIfTrue="1" operator="lessThan">
      <formula>0.001</formula>
    </cfRule>
  </conditionalFormatting>
  <conditionalFormatting sqref="AN700">
    <cfRule type="cellIs" dxfId="210" priority="211" stopIfTrue="1" operator="lessThan">
      <formula>0.001</formula>
    </cfRule>
  </conditionalFormatting>
  <conditionalFormatting sqref="AN701:AN703">
    <cfRule type="cellIs" dxfId="209" priority="210" stopIfTrue="1" operator="lessThan">
      <formula>0.001</formula>
    </cfRule>
  </conditionalFormatting>
  <conditionalFormatting sqref="AN704">
    <cfRule type="cellIs" dxfId="208" priority="209" stopIfTrue="1" operator="lessThan">
      <formula>0.001</formula>
    </cfRule>
  </conditionalFormatting>
  <conditionalFormatting sqref="AN705">
    <cfRule type="cellIs" dxfId="207" priority="208" stopIfTrue="1" operator="lessThan">
      <formula>0.001</formula>
    </cfRule>
  </conditionalFormatting>
  <conditionalFormatting sqref="AN707:AN709">
    <cfRule type="cellIs" dxfId="206" priority="207" stopIfTrue="1" operator="lessThan">
      <formula>0.001</formula>
    </cfRule>
  </conditionalFormatting>
  <conditionalFormatting sqref="AN706">
    <cfRule type="cellIs" dxfId="205" priority="206" stopIfTrue="1" operator="lessThan">
      <formula>0.001</formula>
    </cfRule>
  </conditionalFormatting>
  <conditionalFormatting sqref="AN710">
    <cfRule type="cellIs" dxfId="204" priority="205" stopIfTrue="1" operator="lessThan">
      <formula>0.001</formula>
    </cfRule>
  </conditionalFormatting>
  <conditionalFormatting sqref="AN711:AN716">
    <cfRule type="cellIs" dxfId="203" priority="204" stopIfTrue="1" operator="lessThan">
      <formula>0.001</formula>
    </cfRule>
  </conditionalFormatting>
  <conditionalFormatting sqref="AN717">
    <cfRule type="cellIs" dxfId="202" priority="203" stopIfTrue="1" operator="lessThan">
      <formula>0.001</formula>
    </cfRule>
  </conditionalFormatting>
  <conditionalFormatting sqref="AN718:AN720">
    <cfRule type="cellIs" dxfId="201" priority="202" stopIfTrue="1" operator="lessThan">
      <formula>0.001</formula>
    </cfRule>
  </conditionalFormatting>
  <conditionalFormatting sqref="AN721">
    <cfRule type="cellIs" dxfId="200" priority="201" stopIfTrue="1" operator="lessThan">
      <formula>0.001</formula>
    </cfRule>
  </conditionalFormatting>
  <conditionalFormatting sqref="AN722:AN724">
    <cfRule type="cellIs" dxfId="199" priority="200" stopIfTrue="1" operator="lessThan">
      <formula>0.001</formula>
    </cfRule>
  </conditionalFormatting>
  <conditionalFormatting sqref="AN725">
    <cfRule type="cellIs" dxfId="198" priority="199" stopIfTrue="1" operator="lessThan">
      <formula>0.001</formula>
    </cfRule>
  </conditionalFormatting>
  <conditionalFormatting sqref="AN726">
    <cfRule type="cellIs" dxfId="197" priority="198" stopIfTrue="1" operator="lessThan">
      <formula>0.001</formula>
    </cfRule>
  </conditionalFormatting>
  <conditionalFormatting sqref="AN727">
    <cfRule type="cellIs" dxfId="196" priority="197" stopIfTrue="1" operator="lessThan">
      <formula>0.001</formula>
    </cfRule>
  </conditionalFormatting>
  <conditionalFormatting sqref="AN728:AN730">
    <cfRule type="cellIs" dxfId="195" priority="196" stopIfTrue="1" operator="lessThan">
      <formula>0.001</formula>
    </cfRule>
  </conditionalFormatting>
  <conditionalFormatting sqref="AN731">
    <cfRule type="cellIs" dxfId="194" priority="195" stopIfTrue="1" operator="lessThan">
      <formula>0.001</formula>
    </cfRule>
  </conditionalFormatting>
  <conditionalFormatting sqref="AN732">
    <cfRule type="cellIs" dxfId="193" priority="194" stopIfTrue="1" operator="lessThan">
      <formula>0.001</formula>
    </cfRule>
  </conditionalFormatting>
  <conditionalFormatting sqref="AN733">
    <cfRule type="cellIs" dxfId="192" priority="193" stopIfTrue="1" operator="lessThan">
      <formula>0.001</formula>
    </cfRule>
  </conditionalFormatting>
  <conditionalFormatting sqref="AN734:AN735">
    <cfRule type="cellIs" dxfId="191" priority="192" stopIfTrue="1" operator="lessThan">
      <formula>0.001</formula>
    </cfRule>
  </conditionalFormatting>
  <conditionalFormatting sqref="AN736">
    <cfRule type="cellIs" dxfId="190" priority="191" stopIfTrue="1" operator="lessThan">
      <formula>0.001</formula>
    </cfRule>
  </conditionalFormatting>
  <conditionalFormatting sqref="AN737:AN739">
    <cfRule type="cellIs" dxfId="189" priority="190" stopIfTrue="1" operator="lessThan">
      <formula>0.001</formula>
    </cfRule>
  </conditionalFormatting>
  <conditionalFormatting sqref="AI698:AK739 AI694:AK695 AI681:AK691">
    <cfRule type="cellIs" dxfId="188" priority="189" stopIfTrue="1" operator="lessThan">
      <formula>0.001</formula>
    </cfRule>
  </conditionalFormatting>
  <conditionalFormatting sqref="AI681:AI691 AI694:AI695 AI698:AI739">
    <cfRule type="cellIs" dxfId="187" priority="188" stopIfTrue="1" operator="lessThan">
      <formula>0.001</formula>
    </cfRule>
  </conditionalFormatting>
  <conditionalFormatting sqref="AI681">
    <cfRule type="cellIs" dxfId="186" priority="187" stopIfTrue="1" operator="lessThan">
      <formula>0.001</formula>
    </cfRule>
  </conditionalFormatting>
  <conditionalFormatting sqref="AI682">
    <cfRule type="cellIs" dxfId="185" priority="186" stopIfTrue="1" operator="lessThan">
      <formula>0.001</formula>
    </cfRule>
  </conditionalFormatting>
  <conditionalFormatting sqref="AI683:AI690">
    <cfRule type="cellIs" dxfId="184" priority="185" stopIfTrue="1" operator="lessThan">
      <formula>0.001</formula>
    </cfRule>
  </conditionalFormatting>
  <conditionalFormatting sqref="AI691">
    <cfRule type="cellIs" dxfId="183" priority="184" stopIfTrue="1" operator="lessThan">
      <formula>0.001</formula>
    </cfRule>
  </conditionalFormatting>
  <conditionalFormatting sqref="AI694">
    <cfRule type="cellIs" dxfId="182" priority="183" stopIfTrue="1" operator="lessThan">
      <formula>0.001</formula>
    </cfRule>
  </conditionalFormatting>
  <conditionalFormatting sqref="AI695">
    <cfRule type="cellIs" dxfId="181" priority="182" stopIfTrue="1" operator="lessThan">
      <formula>0.001</formula>
    </cfRule>
  </conditionalFormatting>
  <conditionalFormatting sqref="AI698">
    <cfRule type="cellIs" dxfId="180" priority="181" stopIfTrue="1" operator="lessThan">
      <formula>0.001</formula>
    </cfRule>
  </conditionalFormatting>
  <conditionalFormatting sqref="AI699">
    <cfRule type="cellIs" dxfId="179" priority="180" stopIfTrue="1" operator="lessThan">
      <formula>0.001</formula>
    </cfRule>
  </conditionalFormatting>
  <conditionalFormatting sqref="AI700">
    <cfRule type="cellIs" dxfId="178" priority="179" stopIfTrue="1" operator="lessThan">
      <formula>0.001</formula>
    </cfRule>
  </conditionalFormatting>
  <conditionalFormatting sqref="AI701:AI703">
    <cfRule type="cellIs" dxfId="177" priority="178" stopIfTrue="1" operator="lessThan">
      <formula>0.001</formula>
    </cfRule>
  </conditionalFormatting>
  <conditionalFormatting sqref="AI704">
    <cfRule type="cellIs" dxfId="176" priority="177" stopIfTrue="1" operator="lessThan">
      <formula>0.001</formula>
    </cfRule>
  </conditionalFormatting>
  <conditionalFormatting sqref="AI705">
    <cfRule type="cellIs" dxfId="175" priority="176" stopIfTrue="1" operator="lessThan">
      <formula>0.001</formula>
    </cfRule>
  </conditionalFormatting>
  <conditionalFormatting sqref="AI707:AI709">
    <cfRule type="cellIs" dxfId="174" priority="175" stopIfTrue="1" operator="lessThan">
      <formula>0.001</formula>
    </cfRule>
  </conditionalFormatting>
  <conditionalFormatting sqref="AI706">
    <cfRule type="cellIs" dxfId="173" priority="174" stopIfTrue="1" operator="lessThan">
      <formula>0.001</formula>
    </cfRule>
  </conditionalFormatting>
  <conditionalFormatting sqref="AI710">
    <cfRule type="cellIs" dxfId="172" priority="173" stopIfTrue="1" operator="lessThan">
      <formula>0.001</formula>
    </cfRule>
  </conditionalFormatting>
  <conditionalFormatting sqref="AI711:AI716">
    <cfRule type="cellIs" dxfId="171" priority="172" stopIfTrue="1" operator="lessThan">
      <formula>0.001</formula>
    </cfRule>
  </conditionalFormatting>
  <conditionalFormatting sqref="AI717">
    <cfRule type="cellIs" dxfId="170" priority="171" stopIfTrue="1" operator="lessThan">
      <formula>0.001</formula>
    </cfRule>
  </conditionalFormatting>
  <conditionalFormatting sqref="AI718:AI720">
    <cfRule type="cellIs" dxfId="169" priority="170" stopIfTrue="1" operator="lessThan">
      <formula>0.001</formula>
    </cfRule>
  </conditionalFormatting>
  <conditionalFormatting sqref="AI721">
    <cfRule type="cellIs" dxfId="168" priority="169" stopIfTrue="1" operator="lessThan">
      <formula>0.001</formula>
    </cfRule>
  </conditionalFormatting>
  <conditionalFormatting sqref="AI722:AI724">
    <cfRule type="cellIs" dxfId="167" priority="168" stopIfTrue="1" operator="lessThan">
      <formula>0.001</formula>
    </cfRule>
  </conditionalFormatting>
  <conditionalFormatting sqref="AI725">
    <cfRule type="cellIs" dxfId="166" priority="167" stopIfTrue="1" operator="lessThan">
      <formula>0.001</formula>
    </cfRule>
  </conditionalFormatting>
  <conditionalFormatting sqref="AI726">
    <cfRule type="cellIs" dxfId="165" priority="166" stopIfTrue="1" operator="lessThan">
      <formula>0.001</formula>
    </cfRule>
  </conditionalFormatting>
  <conditionalFormatting sqref="AI727">
    <cfRule type="cellIs" dxfId="164" priority="165" stopIfTrue="1" operator="lessThan">
      <formula>0.001</formula>
    </cfRule>
  </conditionalFormatting>
  <conditionalFormatting sqref="AI728:AI730">
    <cfRule type="cellIs" dxfId="163" priority="164" stopIfTrue="1" operator="lessThan">
      <formula>0.001</formula>
    </cfRule>
  </conditionalFormatting>
  <conditionalFormatting sqref="AI731">
    <cfRule type="cellIs" dxfId="162" priority="163" stopIfTrue="1" operator="lessThan">
      <formula>0.001</formula>
    </cfRule>
  </conditionalFormatting>
  <conditionalFormatting sqref="AI732">
    <cfRule type="cellIs" dxfId="161" priority="162" stopIfTrue="1" operator="lessThan">
      <formula>0.001</formula>
    </cfRule>
  </conditionalFormatting>
  <conditionalFormatting sqref="AI733">
    <cfRule type="cellIs" dxfId="160" priority="161" stopIfTrue="1" operator="lessThan">
      <formula>0.001</formula>
    </cfRule>
  </conditionalFormatting>
  <conditionalFormatting sqref="AI734:AI735">
    <cfRule type="cellIs" dxfId="159" priority="160" stopIfTrue="1" operator="lessThan">
      <formula>0.001</formula>
    </cfRule>
  </conditionalFormatting>
  <conditionalFormatting sqref="AI736">
    <cfRule type="cellIs" dxfId="158" priority="159" stopIfTrue="1" operator="lessThan">
      <formula>0.001</formula>
    </cfRule>
  </conditionalFormatting>
  <conditionalFormatting sqref="AI737:AI739">
    <cfRule type="cellIs" dxfId="157" priority="158" stopIfTrue="1" operator="lessThan">
      <formula>0.001</formula>
    </cfRule>
  </conditionalFormatting>
  <conditionalFormatting sqref="AJ681:AJ691 AJ694:AJ695 AJ698:AJ739">
    <cfRule type="cellIs" dxfId="156" priority="157" stopIfTrue="1" operator="lessThan">
      <formula>0.001</formula>
    </cfRule>
  </conditionalFormatting>
  <conditionalFormatting sqref="AJ681">
    <cfRule type="cellIs" dxfId="155" priority="156" stopIfTrue="1" operator="lessThan">
      <formula>0.001</formula>
    </cfRule>
  </conditionalFormatting>
  <conditionalFormatting sqref="AJ682">
    <cfRule type="cellIs" dxfId="154" priority="155" stopIfTrue="1" operator="lessThan">
      <formula>0.001</formula>
    </cfRule>
  </conditionalFormatting>
  <conditionalFormatting sqref="AJ683:AJ690">
    <cfRule type="cellIs" dxfId="153" priority="154" stopIfTrue="1" operator="lessThan">
      <formula>0.001</formula>
    </cfRule>
  </conditionalFormatting>
  <conditionalFormatting sqref="AJ691">
    <cfRule type="cellIs" dxfId="152" priority="153" stopIfTrue="1" operator="lessThan">
      <formula>0.001</formula>
    </cfRule>
  </conditionalFormatting>
  <conditionalFormatting sqref="AJ694">
    <cfRule type="cellIs" dxfId="151" priority="152" stopIfTrue="1" operator="lessThan">
      <formula>0.001</formula>
    </cfRule>
  </conditionalFormatting>
  <conditionalFormatting sqref="AJ695">
    <cfRule type="cellIs" dxfId="150" priority="151" stopIfTrue="1" operator="lessThan">
      <formula>0.001</formula>
    </cfRule>
  </conditionalFormatting>
  <conditionalFormatting sqref="AJ698">
    <cfRule type="cellIs" dxfId="149" priority="150" stopIfTrue="1" operator="lessThan">
      <formula>0.001</formula>
    </cfRule>
  </conditionalFormatting>
  <conditionalFormatting sqref="AJ699">
    <cfRule type="cellIs" dxfId="148" priority="149" stopIfTrue="1" operator="lessThan">
      <formula>0.001</formula>
    </cfRule>
  </conditionalFormatting>
  <conditionalFormatting sqref="AJ700">
    <cfRule type="cellIs" dxfId="147" priority="148" stopIfTrue="1" operator="lessThan">
      <formula>0.001</formula>
    </cfRule>
  </conditionalFormatting>
  <conditionalFormatting sqref="AJ701:AJ703">
    <cfRule type="cellIs" dxfId="146" priority="147" stopIfTrue="1" operator="lessThan">
      <formula>0.001</formula>
    </cfRule>
  </conditionalFormatting>
  <conditionalFormatting sqref="AJ704">
    <cfRule type="cellIs" dxfId="145" priority="146" stopIfTrue="1" operator="lessThan">
      <formula>0.001</formula>
    </cfRule>
  </conditionalFormatting>
  <conditionalFormatting sqref="AJ705">
    <cfRule type="cellIs" dxfId="144" priority="145" stopIfTrue="1" operator="lessThan">
      <formula>0.001</formula>
    </cfRule>
  </conditionalFormatting>
  <conditionalFormatting sqref="AJ707:AJ709">
    <cfRule type="cellIs" dxfId="143" priority="144" stopIfTrue="1" operator="lessThan">
      <formula>0.001</formula>
    </cfRule>
  </conditionalFormatting>
  <conditionalFormatting sqref="AJ706">
    <cfRule type="cellIs" dxfId="142" priority="143" stopIfTrue="1" operator="lessThan">
      <formula>0.001</formula>
    </cfRule>
  </conditionalFormatting>
  <conditionalFormatting sqref="AJ710">
    <cfRule type="cellIs" dxfId="141" priority="142" stopIfTrue="1" operator="lessThan">
      <formula>0.001</formula>
    </cfRule>
  </conditionalFormatting>
  <conditionalFormatting sqref="AJ711:AJ716">
    <cfRule type="cellIs" dxfId="140" priority="141" stopIfTrue="1" operator="lessThan">
      <formula>0.001</formula>
    </cfRule>
  </conditionalFormatting>
  <conditionalFormatting sqref="AJ717">
    <cfRule type="cellIs" dxfId="139" priority="140" stopIfTrue="1" operator="lessThan">
      <formula>0.001</formula>
    </cfRule>
  </conditionalFormatting>
  <conditionalFormatting sqref="AJ718:AJ720">
    <cfRule type="cellIs" dxfId="138" priority="139" stopIfTrue="1" operator="lessThan">
      <formula>0.001</formula>
    </cfRule>
  </conditionalFormatting>
  <conditionalFormatting sqref="AJ721">
    <cfRule type="cellIs" dxfId="137" priority="138" stopIfTrue="1" operator="lessThan">
      <formula>0.001</formula>
    </cfRule>
  </conditionalFormatting>
  <conditionalFormatting sqref="AJ722:AJ724">
    <cfRule type="cellIs" dxfId="136" priority="137" stopIfTrue="1" operator="lessThan">
      <formula>0.001</formula>
    </cfRule>
  </conditionalFormatting>
  <conditionalFormatting sqref="AJ725">
    <cfRule type="cellIs" dxfId="135" priority="136" stopIfTrue="1" operator="lessThan">
      <formula>0.001</formula>
    </cfRule>
  </conditionalFormatting>
  <conditionalFormatting sqref="AJ726">
    <cfRule type="cellIs" dxfId="134" priority="135" stopIfTrue="1" operator="lessThan">
      <formula>0.001</formula>
    </cfRule>
  </conditionalFormatting>
  <conditionalFormatting sqref="AJ727">
    <cfRule type="cellIs" dxfId="133" priority="134" stopIfTrue="1" operator="lessThan">
      <formula>0.001</formula>
    </cfRule>
  </conditionalFormatting>
  <conditionalFormatting sqref="AJ728:AJ730">
    <cfRule type="cellIs" dxfId="132" priority="133" stopIfTrue="1" operator="lessThan">
      <formula>0.001</formula>
    </cfRule>
  </conditionalFormatting>
  <conditionalFormatting sqref="AJ731">
    <cfRule type="cellIs" dxfId="131" priority="132" stopIfTrue="1" operator="lessThan">
      <formula>0.001</formula>
    </cfRule>
  </conditionalFormatting>
  <conditionalFormatting sqref="AJ732">
    <cfRule type="cellIs" dxfId="130" priority="131" stopIfTrue="1" operator="lessThan">
      <formula>0.001</formula>
    </cfRule>
  </conditionalFormatting>
  <conditionalFormatting sqref="AJ733">
    <cfRule type="cellIs" dxfId="129" priority="130" stopIfTrue="1" operator="lessThan">
      <formula>0.001</formula>
    </cfRule>
  </conditionalFormatting>
  <conditionalFormatting sqref="AJ734:AJ735">
    <cfRule type="cellIs" dxfId="128" priority="129" stopIfTrue="1" operator="lessThan">
      <formula>0.001</formula>
    </cfRule>
  </conditionalFormatting>
  <conditionalFormatting sqref="AJ736">
    <cfRule type="cellIs" dxfId="127" priority="128" stopIfTrue="1" operator="lessThan">
      <formula>0.001</formula>
    </cfRule>
  </conditionalFormatting>
  <conditionalFormatting sqref="AJ737:AJ739">
    <cfRule type="cellIs" dxfId="126" priority="127" stopIfTrue="1" operator="lessThan">
      <formula>0.001</formula>
    </cfRule>
  </conditionalFormatting>
  <conditionalFormatting sqref="AK681:AK691 AK694:AK695 AK698:AK739">
    <cfRule type="cellIs" dxfId="125" priority="126" stopIfTrue="1" operator="lessThan">
      <formula>0.001</formula>
    </cfRule>
  </conditionalFormatting>
  <conditionalFormatting sqref="AK681">
    <cfRule type="cellIs" dxfId="124" priority="125" stopIfTrue="1" operator="lessThan">
      <formula>0.001</formula>
    </cfRule>
  </conditionalFormatting>
  <conditionalFormatting sqref="AK682">
    <cfRule type="cellIs" dxfId="123" priority="124" stopIfTrue="1" operator="lessThan">
      <formula>0.001</formula>
    </cfRule>
  </conditionalFormatting>
  <conditionalFormatting sqref="AK683:AK690">
    <cfRule type="cellIs" dxfId="122" priority="123" stopIfTrue="1" operator="lessThan">
      <formula>0.001</formula>
    </cfRule>
  </conditionalFormatting>
  <conditionalFormatting sqref="AK691">
    <cfRule type="cellIs" dxfId="121" priority="122" stopIfTrue="1" operator="lessThan">
      <formula>0.001</formula>
    </cfRule>
  </conditionalFormatting>
  <conditionalFormatting sqref="AK694">
    <cfRule type="cellIs" dxfId="120" priority="121" stopIfTrue="1" operator="lessThan">
      <formula>0.001</formula>
    </cfRule>
  </conditionalFormatting>
  <conditionalFormatting sqref="AK695">
    <cfRule type="cellIs" dxfId="119" priority="120" stopIfTrue="1" operator="lessThan">
      <formula>0.001</formula>
    </cfRule>
  </conditionalFormatting>
  <conditionalFormatting sqref="AK698">
    <cfRule type="cellIs" dxfId="118" priority="119" stopIfTrue="1" operator="lessThan">
      <formula>0.001</formula>
    </cfRule>
  </conditionalFormatting>
  <conditionalFormatting sqref="AK699">
    <cfRule type="cellIs" dxfId="117" priority="118" stopIfTrue="1" operator="lessThan">
      <formula>0.001</formula>
    </cfRule>
  </conditionalFormatting>
  <conditionalFormatting sqref="AK700">
    <cfRule type="cellIs" dxfId="116" priority="117" stopIfTrue="1" operator="lessThan">
      <formula>0.001</formula>
    </cfRule>
  </conditionalFormatting>
  <conditionalFormatting sqref="AK701:AK703">
    <cfRule type="cellIs" dxfId="115" priority="116" stopIfTrue="1" operator="lessThan">
      <formula>0.001</formula>
    </cfRule>
  </conditionalFormatting>
  <conditionalFormatting sqref="AK704">
    <cfRule type="cellIs" dxfId="114" priority="115" stopIfTrue="1" operator="lessThan">
      <formula>0.001</formula>
    </cfRule>
  </conditionalFormatting>
  <conditionalFormatting sqref="AK705">
    <cfRule type="cellIs" dxfId="113" priority="114" stopIfTrue="1" operator="lessThan">
      <formula>0.001</formula>
    </cfRule>
  </conditionalFormatting>
  <conditionalFormatting sqref="AK707:AK709">
    <cfRule type="cellIs" dxfId="112" priority="113" stopIfTrue="1" operator="lessThan">
      <formula>0.001</formula>
    </cfRule>
  </conditionalFormatting>
  <conditionalFormatting sqref="AK706">
    <cfRule type="cellIs" dxfId="111" priority="112" stopIfTrue="1" operator="lessThan">
      <formula>0.001</formula>
    </cfRule>
  </conditionalFormatting>
  <conditionalFormatting sqref="AK710">
    <cfRule type="cellIs" dxfId="110" priority="111" stopIfTrue="1" operator="lessThan">
      <formula>0.001</formula>
    </cfRule>
  </conditionalFormatting>
  <conditionalFormatting sqref="AK711:AK716">
    <cfRule type="cellIs" dxfId="109" priority="110" stopIfTrue="1" operator="lessThan">
      <formula>0.001</formula>
    </cfRule>
  </conditionalFormatting>
  <conditionalFormatting sqref="AK717">
    <cfRule type="cellIs" dxfId="108" priority="109" stopIfTrue="1" operator="lessThan">
      <formula>0.001</formula>
    </cfRule>
  </conditionalFormatting>
  <conditionalFormatting sqref="AK718:AK720">
    <cfRule type="cellIs" dxfId="107" priority="108" stopIfTrue="1" operator="lessThan">
      <formula>0.001</formula>
    </cfRule>
  </conditionalFormatting>
  <conditionalFormatting sqref="AK721">
    <cfRule type="cellIs" dxfId="106" priority="107" stopIfTrue="1" operator="lessThan">
      <formula>0.001</formula>
    </cfRule>
  </conditionalFormatting>
  <conditionalFormatting sqref="AK722:AK724">
    <cfRule type="cellIs" dxfId="105" priority="106" stopIfTrue="1" operator="lessThan">
      <formula>0.001</formula>
    </cfRule>
  </conditionalFormatting>
  <conditionalFormatting sqref="AK725">
    <cfRule type="cellIs" dxfId="104" priority="105" stopIfTrue="1" operator="lessThan">
      <formula>0.001</formula>
    </cfRule>
  </conditionalFormatting>
  <conditionalFormatting sqref="AK726">
    <cfRule type="cellIs" dxfId="103" priority="104" stopIfTrue="1" operator="lessThan">
      <formula>0.001</formula>
    </cfRule>
  </conditionalFormatting>
  <conditionalFormatting sqref="AK727">
    <cfRule type="cellIs" dxfId="102" priority="103" stopIfTrue="1" operator="lessThan">
      <formula>0.001</formula>
    </cfRule>
  </conditionalFormatting>
  <conditionalFormatting sqref="AK728:AK730">
    <cfRule type="cellIs" dxfId="101" priority="102" stopIfTrue="1" operator="lessThan">
      <formula>0.001</formula>
    </cfRule>
  </conditionalFormatting>
  <conditionalFormatting sqref="AK731">
    <cfRule type="cellIs" dxfId="100" priority="101" stopIfTrue="1" operator="lessThan">
      <formula>0.001</formula>
    </cfRule>
  </conditionalFormatting>
  <conditionalFormatting sqref="AK732">
    <cfRule type="cellIs" dxfId="99" priority="100" stopIfTrue="1" operator="lessThan">
      <formula>0.001</formula>
    </cfRule>
  </conditionalFormatting>
  <conditionalFormatting sqref="AK733">
    <cfRule type="cellIs" dxfId="98" priority="99" stopIfTrue="1" operator="lessThan">
      <formula>0.001</formula>
    </cfRule>
  </conditionalFormatting>
  <conditionalFormatting sqref="AK734:AK735">
    <cfRule type="cellIs" dxfId="97" priority="98" stopIfTrue="1" operator="lessThan">
      <formula>0.001</formula>
    </cfRule>
  </conditionalFormatting>
  <conditionalFormatting sqref="AK736">
    <cfRule type="cellIs" dxfId="96" priority="97" stopIfTrue="1" operator="lessThan">
      <formula>0.001</formula>
    </cfRule>
  </conditionalFormatting>
  <conditionalFormatting sqref="AK737:AK739">
    <cfRule type="cellIs" dxfId="95" priority="96" stopIfTrue="1" operator="lessThan">
      <formula>0.001</formula>
    </cfRule>
  </conditionalFormatting>
  <conditionalFormatting sqref="AI698:AK739 AI694:AK695 AI681:AK691">
    <cfRule type="cellIs" dxfId="94" priority="95" stopIfTrue="1" operator="lessThan">
      <formula>0.001</formula>
    </cfRule>
  </conditionalFormatting>
  <conditionalFormatting sqref="AI681:AI691 AI694:AI695 AI698:AI739">
    <cfRule type="cellIs" dxfId="93" priority="94" stopIfTrue="1" operator="lessThan">
      <formula>0.001</formula>
    </cfRule>
  </conditionalFormatting>
  <conditionalFormatting sqref="AI681">
    <cfRule type="cellIs" dxfId="92" priority="93" stopIfTrue="1" operator="lessThan">
      <formula>0.001</formula>
    </cfRule>
  </conditionalFormatting>
  <conditionalFormatting sqref="AI682">
    <cfRule type="cellIs" dxfId="91" priority="92" stopIfTrue="1" operator="lessThan">
      <formula>0.001</formula>
    </cfRule>
  </conditionalFormatting>
  <conditionalFormatting sqref="AI683:AI690">
    <cfRule type="cellIs" dxfId="90" priority="91" stopIfTrue="1" operator="lessThan">
      <formula>0.001</formula>
    </cfRule>
  </conditionalFormatting>
  <conditionalFormatting sqref="AI691">
    <cfRule type="cellIs" dxfId="89" priority="90" stopIfTrue="1" operator="lessThan">
      <formula>0.001</formula>
    </cfRule>
  </conditionalFormatting>
  <conditionalFormatting sqref="AI694">
    <cfRule type="cellIs" dxfId="88" priority="89" stopIfTrue="1" operator="lessThan">
      <formula>0.001</formula>
    </cfRule>
  </conditionalFormatting>
  <conditionalFormatting sqref="AI695">
    <cfRule type="cellIs" dxfId="87" priority="88" stopIfTrue="1" operator="lessThan">
      <formula>0.001</formula>
    </cfRule>
  </conditionalFormatting>
  <conditionalFormatting sqref="AI698">
    <cfRule type="cellIs" dxfId="86" priority="87" stopIfTrue="1" operator="lessThan">
      <formula>0.001</formula>
    </cfRule>
  </conditionalFormatting>
  <conditionalFormatting sqref="AI699">
    <cfRule type="cellIs" dxfId="85" priority="86" stopIfTrue="1" operator="lessThan">
      <formula>0.001</formula>
    </cfRule>
  </conditionalFormatting>
  <conditionalFormatting sqref="AI700">
    <cfRule type="cellIs" dxfId="84" priority="85" stopIfTrue="1" operator="lessThan">
      <formula>0.001</formula>
    </cfRule>
  </conditionalFormatting>
  <conditionalFormatting sqref="AI701:AI703">
    <cfRule type="cellIs" dxfId="83" priority="84" stopIfTrue="1" operator="lessThan">
      <formula>0.001</formula>
    </cfRule>
  </conditionalFormatting>
  <conditionalFormatting sqref="AI704">
    <cfRule type="cellIs" dxfId="82" priority="83" stopIfTrue="1" operator="lessThan">
      <formula>0.001</formula>
    </cfRule>
  </conditionalFormatting>
  <conditionalFormatting sqref="AI705">
    <cfRule type="cellIs" dxfId="81" priority="82" stopIfTrue="1" operator="lessThan">
      <formula>0.001</formula>
    </cfRule>
  </conditionalFormatting>
  <conditionalFormatting sqref="AI707:AI709">
    <cfRule type="cellIs" dxfId="80" priority="81" stopIfTrue="1" operator="lessThan">
      <formula>0.001</formula>
    </cfRule>
  </conditionalFormatting>
  <conditionalFormatting sqref="AI706">
    <cfRule type="cellIs" dxfId="79" priority="80" stopIfTrue="1" operator="lessThan">
      <formula>0.001</formula>
    </cfRule>
  </conditionalFormatting>
  <conditionalFormatting sqref="AI710">
    <cfRule type="cellIs" dxfId="78" priority="79" stopIfTrue="1" operator="lessThan">
      <formula>0.001</formula>
    </cfRule>
  </conditionalFormatting>
  <conditionalFormatting sqref="AI711:AI716">
    <cfRule type="cellIs" dxfId="77" priority="78" stopIfTrue="1" operator="lessThan">
      <formula>0.001</formula>
    </cfRule>
  </conditionalFormatting>
  <conditionalFormatting sqref="AI717">
    <cfRule type="cellIs" dxfId="76" priority="77" stopIfTrue="1" operator="lessThan">
      <formula>0.001</formula>
    </cfRule>
  </conditionalFormatting>
  <conditionalFormatting sqref="AI718:AI720">
    <cfRule type="cellIs" dxfId="75" priority="76" stopIfTrue="1" operator="lessThan">
      <formula>0.001</formula>
    </cfRule>
  </conditionalFormatting>
  <conditionalFormatting sqref="AI721">
    <cfRule type="cellIs" dxfId="74" priority="75" stopIfTrue="1" operator="lessThan">
      <formula>0.001</formula>
    </cfRule>
  </conditionalFormatting>
  <conditionalFormatting sqref="AI722:AI724">
    <cfRule type="cellIs" dxfId="73" priority="74" stopIfTrue="1" operator="lessThan">
      <formula>0.001</formula>
    </cfRule>
  </conditionalFormatting>
  <conditionalFormatting sqref="AI725">
    <cfRule type="cellIs" dxfId="72" priority="73" stopIfTrue="1" operator="lessThan">
      <formula>0.001</formula>
    </cfRule>
  </conditionalFormatting>
  <conditionalFormatting sqref="AI726">
    <cfRule type="cellIs" dxfId="71" priority="72" stopIfTrue="1" operator="lessThan">
      <formula>0.001</formula>
    </cfRule>
  </conditionalFormatting>
  <conditionalFormatting sqref="AI727">
    <cfRule type="cellIs" dxfId="70" priority="71" stopIfTrue="1" operator="lessThan">
      <formula>0.001</formula>
    </cfRule>
  </conditionalFormatting>
  <conditionalFormatting sqref="AI728:AI730">
    <cfRule type="cellIs" dxfId="69" priority="70" stopIfTrue="1" operator="lessThan">
      <formula>0.001</formula>
    </cfRule>
  </conditionalFormatting>
  <conditionalFormatting sqref="AI731">
    <cfRule type="cellIs" dxfId="68" priority="69" stopIfTrue="1" operator="lessThan">
      <formula>0.001</formula>
    </cfRule>
  </conditionalFormatting>
  <conditionalFormatting sqref="AI732">
    <cfRule type="cellIs" dxfId="67" priority="68" stopIfTrue="1" operator="lessThan">
      <formula>0.001</formula>
    </cfRule>
  </conditionalFormatting>
  <conditionalFormatting sqref="AI733">
    <cfRule type="cellIs" dxfId="66" priority="67" stopIfTrue="1" operator="lessThan">
      <formula>0.001</formula>
    </cfRule>
  </conditionalFormatting>
  <conditionalFormatting sqref="AI734:AI735">
    <cfRule type="cellIs" dxfId="65" priority="66" stopIfTrue="1" operator="lessThan">
      <formula>0.001</formula>
    </cfRule>
  </conditionalFormatting>
  <conditionalFormatting sqref="AI736">
    <cfRule type="cellIs" dxfId="64" priority="65" stopIfTrue="1" operator="lessThan">
      <formula>0.001</formula>
    </cfRule>
  </conditionalFormatting>
  <conditionalFormatting sqref="AI737:AI739">
    <cfRule type="cellIs" dxfId="63" priority="64" stopIfTrue="1" operator="lessThan">
      <formula>0.001</formula>
    </cfRule>
  </conditionalFormatting>
  <conditionalFormatting sqref="AJ681:AJ691 AJ694:AJ695 AJ698:AJ739">
    <cfRule type="cellIs" dxfId="62" priority="63" stopIfTrue="1" operator="lessThan">
      <formula>0.001</formula>
    </cfRule>
  </conditionalFormatting>
  <conditionalFormatting sqref="AJ681">
    <cfRule type="cellIs" dxfId="61" priority="62" stopIfTrue="1" operator="lessThan">
      <formula>0.001</formula>
    </cfRule>
  </conditionalFormatting>
  <conditionalFormatting sqref="AJ682">
    <cfRule type="cellIs" dxfId="60" priority="61" stopIfTrue="1" operator="lessThan">
      <formula>0.001</formula>
    </cfRule>
  </conditionalFormatting>
  <conditionalFormatting sqref="AJ683:AJ690">
    <cfRule type="cellIs" dxfId="59" priority="60" stopIfTrue="1" operator="lessThan">
      <formula>0.001</formula>
    </cfRule>
  </conditionalFormatting>
  <conditionalFormatting sqref="AJ691">
    <cfRule type="cellIs" dxfId="58" priority="59" stopIfTrue="1" operator="lessThan">
      <formula>0.001</formula>
    </cfRule>
  </conditionalFormatting>
  <conditionalFormatting sqref="AJ694">
    <cfRule type="cellIs" dxfId="57" priority="58" stopIfTrue="1" operator="lessThan">
      <formula>0.001</formula>
    </cfRule>
  </conditionalFormatting>
  <conditionalFormatting sqref="AJ695">
    <cfRule type="cellIs" dxfId="56" priority="57" stopIfTrue="1" operator="lessThan">
      <formula>0.001</formula>
    </cfRule>
  </conditionalFormatting>
  <conditionalFormatting sqref="AJ698">
    <cfRule type="cellIs" dxfId="55" priority="56" stopIfTrue="1" operator="lessThan">
      <formula>0.001</formula>
    </cfRule>
  </conditionalFormatting>
  <conditionalFormatting sqref="AJ699">
    <cfRule type="cellIs" dxfId="54" priority="55" stopIfTrue="1" operator="lessThan">
      <formula>0.001</formula>
    </cfRule>
  </conditionalFormatting>
  <conditionalFormatting sqref="AJ700">
    <cfRule type="cellIs" dxfId="53" priority="54" stopIfTrue="1" operator="lessThan">
      <formula>0.001</formula>
    </cfRule>
  </conditionalFormatting>
  <conditionalFormatting sqref="AJ701:AJ703">
    <cfRule type="cellIs" dxfId="52" priority="53" stopIfTrue="1" operator="lessThan">
      <formula>0.001</formula>
    </cfRule>
  </conditionalFormatting>
  <conditionalFormatting sqref="AJ704">
    <cfRule type="cellIs" dxfId="51" priority="52" stopIfTrue="1" operator="lessThan">
      <formula>0.001</formula>
    </cfRule>
  </conditionalFormatting>
  <conditionalFormatting sqref="AJ705">
    <cfRule type="cellIs" dxfId="50" priority="51" stopIfTrue="1" operator="lessThan">
      <formula>0.001</formula>
    </cfRule>
  </conditionalFormatting>
  <conditionalFormatting sqref="AJ707:AJ709">
    <cfRule type="cellIs" dxfId="49" priority="50" stopIfTrue="1" operator="lessThan">
      <formula>0.001</formula>
    </cfRule>
  </conditionalFormatting>
  <conditionalFormatting sqref="AJ706">
    <cfRule type="cellIs" dxfId="48" priority="49" stopIfTrue="1" operator="lessThan">
      <formula>0.001</formula>
    </cfRule>
  </conditionalFormatting>
  <conditionalFormatting sqref="AJ710">
    <cfRule type="cellIs" dxfId="47" priority="48" stopIfTrue="1" operator="lessThan">
      <formula>0.001</formula>
    </cfRule>
  </conditionalFormatting>
  <conditionalFormatting sqref="AJ711:AJ716">
    <cfRule type="cellIs" dxfId="46" priority="47" stopIfTrue="1" operator="lessThan">
      <formula>0.001</formula>
    </cfRule>
  </conditionalFormatting>
  <conditionalFormatting sqref="AJ717">
    <cfRule type="cellIs" dxfId="45" priority="46" stopIfTrue="1" operator="lessThan">
      <formula>0.001</formula>
    </cfRule>
  </conditionalFormatting>
  <conditionalFormatting sqref="AJ718:AJ720">
    <cfRule type="cellIs" dxfId="44" priority="45" stopIfTrue="1" operator="lessThan">
      <formula>0.001</formula>
    </cfRule>
  </conditionalFormatting>
  <conditionalFormatting sqref="AJ721">
    <cfRule type="cellIs" dxfId="43" priority="44" stopIfTrue="1" operator="lessThan">
      <formula>0.001</formula>
    </cfRule>
  </conditionalFormatting>
  <conditionalFormatting sqref="AJ722:AJ724">
    <cfRule type="cellIs" dxfId="42" priority="43" stopIfTrue="1" operator="lessThan">
      <formula>0.001</formula>
    </cfRule>
  </conditionalFormatting>
  <conditionalFormatting sqref="AJ725">
    <cfRule type="cellIs" dxfId="41" priority="42" stopIfTrue="1" operator="lessThan">
      <formula>0.001</formula>
    </cfRule>
  </conditionalFormatting>
  <conditionalFormatting sqref="AJ726">
    <cfRule type="cellIs" dxfId="40" priority="41" stopIfTrue="1" operator="lessThan">
      <formula>0.001</formula>
    </cfRule>
  </conditionalFormatting>
  <conditionalFormatting sqref="AJ727">
    <cfRule type="cellIs" dxfId="39" priority="40" stopIfTrue="1" operator="lessThan">
      <formula>0.001</formula>
    </cfRule>
  </conditionalFormatting>
  <conditionalFormatting sqref="AJ728:AJ730">
    <cfRule type="cellIs" dxfId="38" priority="39" stopIfTrue="1" operator="lessThan">
      <formula>0.001</formula>
    </cfRule>
  </conditionalFormatting>
  <conditionalFormatting sqref="AJ731">
    <cfRule type="cellIs" dxfId="37" priority="38" stopIfTrue="1" operator="lessThan">
      <formula>0.001</formula>
    </cfRule>
  </conditionalFormatting>
  <conditionalFormatting sqref="AJ732">
    <cfRule type="cellIs" dxfId="36" priority="37" stopIfTrue="1" operator="lessThan">
      <formula>0.001</formula>
    </cfRule>
  </conditionalFormatting>
  <conditionalFormatting sqref="AJ733">
    <cfRule type="cellIs" dxfId="35" priority="36" stopIfTrue="1" operator="lessThan">
      <formula>0.001</formula>
    </cfRule>
  </conditionalFormatting>
  <conditionalFormatting sqref="AJ734:AJ735">
    <cfRule type="cellIs" dxfId="34" priority="35" stopIfTrue="1" operator="lessThan">
      <formula>0.001</formula>
    </cfRule>
  </conditionalFormatting>
  <conditionalFormatting sqref="AJ736">
    <cfRule type="cellIs" dxfId="33" priority="34" stopIfTrue="1" operator="lessThan">
      <formula>0.001</formula>
    </cfRule>
  </conditionalFormatting>
  <conditionalFormatting sqref="AJ737:AJ739">
    <cfRule type="cellIs" dxfId="32" priority="33" stopIfTrue="1" operator="lessThan">
      <formula>0.001</formula>
    </cfRule>
  </conditionalFormatting>
  <conditionalFormatting sqref="AK681:AK691 AK694:AK695 AK698:AK739">
    <cfRule type="cellIs" dxfId="31" priority="32" stopIfTrue="1" operator="lessThan">
      <formula>0.001</formula>
    </cfRule>
  </conditionalFormatting>
  <conditionalFormatting sqref="AK681">
    <cfRule type="cellIs" dxfId="30" priority="31" stopIfTrue="1" operator="lessThan">
      <formula>0.001</formula>
    </cfRule>
  </conditionalFormatting>
  <conditionalFormatting sqref="AK682">
    <cfRule type="cellIs" dxfId="29" priority="30" stopIfTrue="1" operator="lessThan">
      <formula>0.001</formula>
    </cfRule>
  </conditionalFormatting>
  <conditionalFormatting sqref="AK683:AK690">
    <cfRule type="cellIs" dxfId="28" priority="29" stopIfTrue="1" operator="lessThan">
      <formula>0.001</formula>
    </cfRule>
  </conditionalFormatting>
  <conditionalFormatting sqref="AK691">
    <cfRule type="cellIs" dxfId="27" priority="28" stopIfTrue="1" operator="lessThan">
      <formula>0.001</formula>
    </cfRule>
  </conditionalFormatting>
  <conditionalFormatting sqref="AK694">
    <cfRule type="cellIs" dxfId="26" priority="27" stopIfTrue="1" operator="lessThan">
      <formula>0.001</formula>
    </cfRule>
  </conditionalFormatting>
  <conditionalFormatting sqref="AK695">
    <cfRule type="cellIs" dxfId="25" priority="26" stopIfTrue="1" operator="lessThan">
      <formula>0.001</formula>
    </cfRule>
  </conditionalFormatting>
  <conditionalFormatting sqref="AK698">
    <cfRule type="cellIs" dxfId="24" priority="25" stopIfTrue="1" operator="lessThan">
      <formula>0.001</formula>
    </cfRule>
  </conditionalFormatting>
  <conditionalFormatting sqref="AK699">
    <cfRule type="cellIs" dxfId="23" priority="24" stopIfTrue="1" operator="lessThan">
      <formula>0.001</formula>
    </cfRule>
  </conditionalFormatting>
  <conditionalFormatting sqref="AK700">
    <cfRule type="cellIs" dxfId="22" priority="23" stopIfTrue="1" operator="lessThan">
      <formula>0.001</formula>
    </cfRule>
  </conditionalFormatting>
  <conditionalFormatting sqref="AK701:AK703">
    <cfRule type="cellIs" dxfId="21" priority="22" stopIfTrue="1" operator="lessThan">
      <formula>0.001</formula>
    </cfRule>
  </conditionalFormatting>
  <conditionalFormatting sqref="AK704">
    <cfRule type="cellIs" dxfId="20" priority="21" stopIfTrue="1" operator="lessThan">
      <formula>0.001</formula>
    </cfRule>
  </conditionalFormatting>
  <conditionalFormatting sqref="AK705">
    <cfRule type="cellIs" dxfId="19" priority="20" stopIfTrue="1" operator="lessThan">
      <formula>0.001</formula>
    </cfRule>
  </conditionalFormatting>
  <conditionalFormatting sqref="AK707:AK709">
    <cfRule type="cellIs" dxfId="18" priority="19" stopIfTrue="1" operator="lessThan">
      <formula>0.001</formula>
    </cfRule>
  </conditionalFormatting>
  <conditionalFormatting sqref="AK706">
    <cfRule type="cellIs" dxfId="17" priority="18" stopIfTrue="1" operator="lessThan">
      <formula>0.001</formula>
    </cfRule>
  </conditionalFormatting>
  <conditionalFormatting sqref="AK710">
    <cfRule type="cellIs" dxfId="16" priority="17" stopIfTrue="1" operator="lessThan">
      <formula>0.001</formula>
    </cfRule>
  </conditionalFormatting>
  <conditionalFormatting sqref="AK711:AK716">
    <cfRule type="cellIs" dxfId="15" priority="16" stopIfTrue="1" operator="lessThan">
      <formula>0.001</formula>
    </cfRule>
  </conditionalFormatting>
  <conditionalFormatting sqref="AK717">
    <cfRule type="cellIs" dxfId="14" priority="15" stopIfTrue="1" operator="lessThan">
      <formula>0.001</formula>
    </cfRule>
  </conditionalFormatting>
  <conditionalFormatting sqref="AK718:AK720">
    <cfRule type="cellIs" dxfId="13" priority="14" stopIfTrue="1" operator="lessThan">
      <formula>0.001</formula>
    </cfRule>
  </conditionalFormatting>
  <conditionalFormatting sqref="AK721">
    <cfRule type="cellIs" dxfId="12" priority="13" stopIfTrue="1" operator="lessThan">
      <formula>0.001</formula>
    </cfRule>
  </conditionalFormatting>
  <conditionalFormatting sqref="AK722:AK724">
    <cfRule type="cellIs" dxfId="11" priority="12" stopIfTrue="1" operator="lessThan">
      <formula>0.001</formula>
    </cfRule>
  </conditionalFormatting>
  <conditionalFormatting sqref="AK725">
    <cfRule type="cellIs" dxfId="10" priority="11" stopIfTrue="1" operator="lessThan">
      <formula>0.001</formula>
    </cfRule>
  </conditionalFormatting>
  <conditionalFormatting sqref="AK726">
    <cfRule type="cellIs" dxfId="9" priority="10" stopIfTrue="1" operator="lessThan">
      <formula>0.001</formula>
    </cfRule>
  </conditionalFormatting>
  <conditionalFormatting sqref="AK727">
    <cfRule type="cellIs" dxfId="8" priority="9" stopIfTrue="1" operator="lessThan">
      <formula>0.001</formula>
    </cfRule>
  </conditionalFormatting>
  <conditionalFormatting sqref="AK728:AK730">
    <cfRule type="cellIs" dxfId="7" priority="8" stopIfTrue="1" operator="lessThan">
      <formula>0.001</formula>
    </cfRule>
  </conditionalFormatting>
  <conditionalFormatting sqref="AK731">
    <cfRule type="cellIs" dxfId="6" priority="7" stopIfTrue="1" operator="lessThan">
      <formula>0.001</formula>
    </cfRule>
  </conditionalFormatting>
  <conditionalFormatting sqref="AK732">
    <cfRule type="cellIs" dxfId="5" priority="6" stopIfTrue="1" operator="lessThan">
      <formula>0.001</formula>
    </cfRule>
  </conditionalFormatting>
  <conditionalFormatting sqref="AK733">
    <cfRule type="cellIs" dxfId="4" priority="5" stopIfTrue="1" operator="lessThan">
      <formula>0.001</formula>
    </cfRule>
  </conditionalFormatting>
  <conditionalFormatting sqref="AK734:AK735">
    <cfRule type="cellIs" dxfId="3" priority="4" stopIfTrue="1" operator="lessThan">
      <formula>0.001</formula>
    </cfRule>
  </conditionalFormatting>
  <conditionalFormatting sqref="AK736">
    <cfRule type="cellIs" dxfId="2" priority="3" stopIfTrue="1" operator="lessThan">
      <formula>0.001</formula>
    </cfRule>
  </conditionalFormatting>
  <conditionalFormatting sqref="AK737:AK739">
    <cfRule type="cellIs" dxfId="1" priority="2" stopIfTrue="1" operator="lessThan">
      <formula>0.001</formula>
    </cfRule>
  </conditionalFormatting>
  <conditionalFormatting sqref="AG681:AH691 AG694:AH695 AG698:AH739">
    <cfRule type="cellIs" dxfId="0" priority="1" stopIfTrue="1" operator="lessThan">
      <formula>0.001</formula>
    </cfRule>
  </conditionalFormatting>
  <pageMargins left="0.24" right="0.23" top="0.37" bottom="0.75" header="0.3" footer="0.3"/>
  <pageSetup paperSize="9" scale="8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60"/>
  <sheetViews>
    <sheetView topLeftCell="A4" workbookViewId="0">
      <selection sqref="A1:F1"/>
    </sheetView>
  </sheetViews>
  <sheetFormatPr defaultRowHeight="12.75"/>
  <cols>
    <col min="1" max="1" width="4" customWidth="1"/>
    <col min="2" max="2" width="58.140625" style="295" customWidth="1"/>
    <col min="3" max="3" width="14.140625" customWidth="1"/>
    <col min="4" max="4" width="15" customWidth="1"/>
    <col min="5" max="5" width="15.7109375" customWidth="1"/>
    <col min="6" max="6" width="16.5703125" customWidth="1"/>
  </cols>
  <sheetData>
    <row r="1" spans="1:6" ht="24.75" customHeight="1">
      <c r="A1" s="1968" t="s">
        <v>2298</v>
      </c>
      <c r="B1" s="1968"/>
      <c r="C1" s="1968"/>
      <c r="D1" s="1968"/>
      <c r="E1" s="1968"/>
      <c r="F1" s="1968"/>
    </row>
    <row r="2" spans="1:6" ht="18.75" customHeight="1">
      <c r="A2" s="611" t="s">
        <v>1301</v>
      </c>
      <c r="B2" s="611" t="s">
        <v>1302</v>
      </c>
      <c r="C2" s="1966" t="s">
        <v>1303</v>
      </c>
      <c r="D2" s="1967"/>
      <c r="E2" s="612" t="s">
        <v>1304</v>
      </c>
      <c r="F2" s="593" t="s">
        <v>1305</v>
      </c>
    </row>
    <row r="3" spans="1:6" ht="17.25" customHeight="1">
      <c r="A3" s="593">
        <v>1</v>
      </c>
      <c r="B3" s="616" t="s">
        <v>1306</v>
      </c>
      <c r="C3" s="593" t="s">
        <v>1307</v>
      </c>
      <c r="D3" s="593" t="s">
        <v>297</v>
      </c>
      <c r="E3" s="612" t="s">
        <v>1308</v>
      </c>
      <c r="F3" s="593" t="s">
        <v>1308</v>
      </c>
    </row>
    <row r="4" spans="1:6" ht="17.25" customHeight="1">
      <c r="A4" s="593">
        <v>2</v>
      </c>
      <c r="B4" s="613" t="s">
        <v>1309</v>
      </c>
      <c r="C4" s="612">
        <v>0</v>
      </c>
      <c r="D4" s="612">
        <v>41272</v>
      </c>
      <c r="E4" s="612">
        <v>0</v>
      </c>
      <c r="F4" s="612">
        <v>41272</v>
      </c>
    </row>
    <row r="5" spans="1:6" ht="17.25" customHeight="1">
      <c r="A5" s="593">
        <v>3</v>
      </c>
      <c r="B5" s="613" t="s">
        <v>1310</v>
      </c>
      <c r="C5" s="612">
        <v>0</v>
      </c>
      <c r="D5" s="612">
        <v>41272</v>
      </c>
      <c r="E5" s="612">
        <v>0</v>
      </c>
      <c r="F5" s="612">
        <v>41272</v>
      </c>
    </row>
    <row r="6" spans="1:6" ht="17.25" customHeight="1">
      <c r="A6" s="593">
        <v>4</v>
      </c>
      <c r="B6" s="613" t="s">
        <v>1311</v>
      </c>
      <c r="C6" s="612">
        <v>0</v>
      </c>
      <c r="D6" s="612">
        <v>1216094.55</v>
      </c>
      <c r="E6" s="612"/>
      <c r="F6" s="612">
        <v>1216094.55</v>
      </c>
    </row>
    <row r="7" spans="1:6" ht="17.25" customHeight="1">
      <c r="A7" s="593">
        <v>5</v>
      </c>
      <c r="B7" s="617" t="s">
        <v>1354</v>
      </c>
      <c r="C7" s="612">
        <v>0</v>
      </c>
      <c r="D7" s="612">
        <v>5670</v>
      </c>
      <c r="E7" s="612">
        <f>SUM(E9+E13)</f>
        <v>164155419</v>
      </c>
      <c r="F7" s="612">
        <v>115283317</v>
      </c>
    </row>
    <row r="8" spans="1:6" ht="17.25" customHeight="1">
      <c r="A8" s="593">
        <v>6</v>
      </c>
      <c r="B8" s="535" t="s">
        <v>1312</v>
      </c>
      <c r="C8" s="612">
        <v>369486.2</v>
      </c>
      <c r="D8" s="612">
        <v>372038726</v>
      </c>
      <c r="E8" s="612"/>
      <c r="F8" s="612">
        <v>487316373</v>
      </c>
    </row>
    <row r="9" spans="1:6" ht="17.25" customHeight="1">
      <c r="A9" s="593">
        <v>7</v>
      </c>
      <c r="B9" s="535" t="s">
        <v>1313</v>
      </c>
      <c r="C9" s="612">
        <v>357036.2</v>
      </c>
      <c r="D9" s="612">
        <v>281003400</v>
      </c>
      <c r="E9" s="612">
        <v>142931500</v>
      </c>
      <c r="F9" s="612">
        <v>388704700</v>
      </c>
    </row>
    <row r="10" spans="1:6" ht="17.25" customHeight="1">
      <c r="A10" s="593">
        <v>8</v>
      </c>
      <c r="B10" s="535" t="s">
        <v>1314</v>
      </c>
      <c r="C10" s="612">
        <v>0</v>
      </c>
      <c r="D10" s="612">
        <v>53152082</v>
      </c>
      <c r="E10" s="612">
        <v>0</v>
      </c>
      <c r="F10" s="612">
        <v>53152082</v>
      </c>
    </row>
    <row r="11" spans="1:6" ht="17.25" customHeight="1">
      <c r="A11" s="593">
        <v>9</v>
      </c>
      <c r="B11" s="535" t="s">
        <v>1315</v>
      </c>
      <c r="C11" s="612">
        <v>0</v>
      </c>
      <c r="D11" s="612">
        <v>0</v>
      </c>
      <c r="E11" s="612">
        <v>0</v>
      </c>
      <c r="F11" s="612">
        <v>0</v>
      </c>
    </row>
    <row r="12" spans="1:6" ht="17.25" customHeight="1">
      <c r="A12" s="593">
        <v>10</v>
      </c>
      <c r="B12" s="535" t="s">
        <v>1316</v>
      </c>
      <c r="C12" s="612">
        <v>0</v>
      </c>
      <c r="D12" s="612">
        <v>15961648</v>
      </c>
      <c r="E12" s="612">
        <v>0</v>
      </c>
      <c r="F12" s="612">
        <v>15961648</v>
      </c>
    </row>
    <row r="13" spans="1:6" ht="17.25" customHeight="1">
      <c r="A13" s="593">
        <v>11</v>
      </c>
      <c r="B13" s="535" t="s">
        <v>1317</v>
      </c>
      <c r="C13" s="612">
        <v>12450</v>
      </c>
      <c r="D13" s="612">
        <v>17742500</v>
      </c>
      <c r="E13" s="612">
        <v>21223919</v>
      </c>
      <c r="F13" s="612">
        <v>25318847</v>
      </c>
    </row>
    <row r="14" spans="1:6" ht="17.25" customHeight="1">
      <c r="A14" s="593">
        <v>12</v>
      </c>
      <c r="B14" s="617" t="s">
        <v>1355</v>
      </c>
      <c r="C14" s="612">
        <v>0</v>
      </c>
      <c r="D14" s="612">
        <v>4179096</v>
      </c>
      <c r="E14" s="612">
        <f>SUM(E17+E20+E23)</f>
        <v>164149356.19999999</v>
      </c>
      <c r="F14" s="612">
        <v>106757564.64</v>
      </c>
    </row>
    <row r="15" spans="1:6" ht="17.25" customHeight="1">
      <c r="A15" s="593">
        <v>13</v>
      </c>
      <c r="B15" s="535" t="s">
        <v>1356</v>
      </c>
      <c r="C15" s="612">
        <v>368893.2</v>
      </c>
      <c r="D15" s="612">
        <v>364670127.44999999</v>
      </c>
      <c r="E15" s="612">
        <v>0</v>
      </c>
      <c r="F15" s="612">
        <v>364670127.44999999</v>
      </c>
    </row>
    <row r="16" spans="1:6" ht="17.25" customHeight="1">
      <c r="A16" s="593">
        <v>14</v>
      </c>
      <c r="B16" s="535" t="s">
        <v>1357</v>
      </c>
      <c r="C16" s="612">
        <v>368893.2</v>
      </c>
      <c r="D16" s="612">
        <v>364670127.44999999</v>
      </c>
      <c r="E16" s="612">
        <v>0</v>
      </c>
      <c r="F16" s="612">
        <v>364670127.44999999</v>
      </c>
    </row>
    <row r="17" spans="1:6" ht="17.25" customHeight="1">
      <c r="A17" s="593">
        <v>15</v>
      </c>
      <c r="B17" s="535" t="s">
        <v>1358</v>
      </c>
      <c r="C17" s="612">
        <v>284330.7</v>
      </c>
      <c r="D17" s="612">
        <v>222055562</v>
      </c>
      <c r="E17" s="612">
        <f>SUM(E18+E19)</f>
        <v>111682800</v>
      </c>
      <c r="F17" s="612">
        <v>294520944</v>
      </c>
    </row>
    <row r="18" spans="1:6" ht="17.25" customHeight="1">
      <c r="A18" s="593">
        <v>16</v>
      </c>
      <c r="B18" s="535" t="s">
        <v>1318</v>
      </c>
      <c r="C18" s="612">
        <v>256156.1</v>
      </c>
      <c r="D18" s="612">
        <v>200055943</v>
      </c>
      <c r="E18" s="612">
        <v>108682800</v>
      </c>
      <c r="F18" s="612">
        <v>270521325</v>
      </c>
    </row>
    <row r="19" spans="1:6" ht="17.25" customHeight="1">
      <c r="A19" s="593">
        <v>17</v>
      </c>
      <c r="B19" s="535" t="s">
        <v>1319</v>
      </c>
      <c r="C19" s="612">
        <v>246947.20000000001</v>
      </c>
      <c r="D19" s="612">
        <v>192950487</v>
      </c>
      <c r="E19" s="612">
        <v>3000000</v>
      </c>
      <c r="F19" s="612">
        <v>194950487</v>
      </c>
    </row>
    <row r="20" spans="1:6" ht="17.25" customHeight="1">
      <c r="A20" s="593">
        <v>18</v>
      </c>
      <c r="B20" s="535" t="s">
        <v>1360</v>
      </c>
      <c r="C20" s="612">
        <v>9208.9</v>
      </c>
      <c r="D20" s="612">
        <v>7105456</v>
      </c>
      <c r="E20" s="612">
        <f>SUM(E21+E22)</f>
        <v>12252285.560000001</v>
      </c>
      <c r="F20" s="612">
        <v>14981199</v>
      </c>
    </row>
    <row r="21" spans="1:6" ht="17.25" customHeight="1">
      <c r="A21" s="593">
        <v>19</v>
      </c>
      <c r="B21" s="535" t="s">
        <v>1320</v>
      </c>
      <c r="C21" s="612">
        <v>28174.6</v>
      </c>
      <c r="D21" s="612">
        <v>21999619</v>
      </c>
      <c r="E21" s="612">
        <v>10018629.560000001</v>
      </c>
      <c r="F21" s="612">
        <v>29666024</v>
      </c>
    </row>
    <row r="22" spans="1:6" ht="17.25" customHeight="1">
      <c r="A22" s="593">
        <v>20</v>
      </c>
      <c r="B22" s="535" t="s">
        <v>1321</v>
      </c>
      <c r="C22" s="612">
        <v>23051.8</v>
      </c>
      <c r="D22" s="612">
        <v>17998942</v>
      </c>
      <c r="E22" s="612">
        <v>2233656</v>
      </c>
      <c r="F22" s="612">
        <v>18208280</v>
      </c>
    </row>
    <row r="23" spans="1:6" ht="17.25" customHeight="1">
      <c r="A23" s="593">
        <v>21</v>
      </c>
      <c r="B23" s="535" t="s">
        <v>1359</v>
      </c>
      <c r="C23" s="612">
        <v>5122.8</v>
      </c>
      <c r="D23" s="612">
        <v>4000677</v>
      </c>
      <c r="E23" s="612">
        <f>SUM(E24+E25+E26+E27+E30+E31+E32+E33+E34+E35+E36+E37+E38+E39+E40+E41+E42+E43+E44+E45+E46+E47+E48+E49)</f>
        <v>40214270.640000001</v>
      </c>
      <c r="F23" s="612">
        <v>19742976.640000001</v>
      </c>
    </row>
    <row r="24" spans="1:6" ht="17.25" customHeight="1">
      <c r="A24" s="593">
        <v>22</v>
      </c>
      <c r="B24" s="535" t="s">
        <v>1322</v>
      </c>
      <c r="C24" s="612">
        <v>84562.5</v>
      </c>
      <c r="D24" s="612">
        <v>84802847.450000003</v>
      </c>
      <c r="E24" s="612">
        <v>280100</v>
      </c>
      <c r="F24" s="612">
        <v>84802847.450000003</v>
      </c>
    </row>
    <row r="25" spans="1:6" ht="17.25" customHeight="1">
      <c r="A25" s="593">
        <v>23</v>
      </c>
      <c r="B25" s="535" t="s">
        <v>1323</v>
      </c>
      <c r="C25" s="612">
        <v>998.2</v>
      </c>
      <c r="D25" s="612">
        <v>835200</v>
      </c>
      <c r="E25" s="612">
        <v>2027900</v>
      </c>
      <c r="F25" s="612">
        <v>2313705</v>
      </c>
    </row>
    <row r="26" spans="1:6" ht="17.25" customHeight="1">
      <c r="A26" s="593">
        <v>24</v>
      </c>
      <c r="B26" s="535" t="s">
        <v>1324</v>
      </c>
      <c r="C26" s="612">
        <v>7057.4</v>
      </c>
      <c r="D26" s="612">
        <v>5586400</v>
      </c>
      <c r="E26" s="612">
        <v>5082000</v>
      </c>
      <c r="F26" s="612">
        <v>9468400</v>
      </c>
    </row>
    <row r="27" spans="1:6" ht="17.25" customHeight="1">
      <c r="A27" s="864">
        <v>25</v>
      </c>
      <c r="B27" s="535" t="s">
        <v>1325</v>
      </c>
      <c r="C27" s="612">
        <v>10629.6</v>
      </c>
      <c r="D27" s="612">
        <v>6846900</v>
      </c>
      <c r="E27" s="612">
        <v>385200</v>
      </c>
      <c r="F27" s="612">
        <v>7135800</v>
      </c>
    </row>
    <row r="28" spans="1:6" s="93" customFormat="1" ht="29.25" customHeight="1">
      <c r="A28" s="1093"/>
      <c r="B28" s="621"/>
      <c r="C28" s="1094"/>
      <c r="D28" s="1094"/>
      <c r="E28" s="1094"/>
      <c r="F28" s="1094"/>
    </row>
    <row r="29" spans="1:6" s="93" customFormat="1" ht="17.25" customHeight="1">
      <c r="A29" s="1969">
        <v>69</v>
      </c>
      <c r="B29" s="1969"/>
      <c r="C29" s="1969"/>
      <c r="D29" s="1969"/>
      <c r="E29" s="1969"/>
      <c r="F29" s="1969"/>
    </row>
    <row r="30" spans="1:6" ht="17.25" customHeight="1">
      <c r="A30" s="865">
        <v>26</v>
      </c>
      <c r="B30" s="1091" t="s">
        <v>1326</v>
      </c>
      <c r="C30" s="1092">
        <v>1310.7</v>
      </c>
      <c r="D30" s="1092">
        <v>1026600</v>
      </c>
      <c r="E30" s="1092">
        <v>1686668.64</v>
      </c>
      <c r="F30" s="1092">
        <v>2558268.64</v>
      </c>
    </row>
    <row r="31" spans="1:6" ht="17.25" customHeight="1">
      <c r="A31" s="593">
        <v>27</v>
      </c>
      <c r="B31" s="535" t="s">
        <v>1327</v>
      </c>
      <c r="C31" s="612">
        <v>10077.9</v>
      </c>
      <c r="D31" s="612">
        <v>8406799.4499999993</v>
      </c>
      <c r="E31" s="612">
        <v>1303400</v>
      </c>
      <c r="F31" s="612">
        <v>9315925.4499999993</v>
      </c>
    </row>
    <row r="32" spans="1:6" ht="17.25" customHeight="1">
      <c r="A32" s="593">
        <v>28</v>
      </c>
      <c r="B32" s="535" t="s">
        <v>1328</v>
      </c>
      <c r="C32" s="612">
        <v>4455.3999999999996</v>
      </c>
      <c r="D32" s="612">
        <v>3477000</v>
      </c>
      <c r="E32" s="612">
        <v>172100</v>
      </c>
      <c r="F32" s="612">
        <v>3477000</v>
      </c>
    </row>
    <row r="33" spans="1:6" ht="17.25" customHeight="1">
      <c r="A33" s="593">
        <v>29</v>
      </c>
      <c r="B33" s="535" t="s">
        <v>1329</v>
      </c>
      <c r="C33" s="612">
        <v>875</v>
      </c>
      <c r="D33" s="612">
        <v>624800</v>
      </c>
      <c r="E33" s="612">
        <v>0</v>
      </c>
      <c r="F33" s="612">
        <v>624800</v>
      </c>
    </row>
    <row r="34" spans="1:6" ht="17.25" customHeight="1">
      <c r="A34" s="593">
        <v>30</v>
      </c>
      <c r="B34" s="535" t="s">
        <v>1330</v>
      </c>
      <c r="C34" s="612">
        <v>0</v>
      </c>
      <c r="D34" s="612">
        <v>0</v>
      </c>
      <c r="E34" s="612">
        <v>0</v>
      </c>
      <c r="F34" s="612">
        <v>0</v>
      </c>
    </row>
    <row r="35" spans="1:6" ht="17.25" customHeight="1">
      <c r="A35" s="593">
        <v>31</v>
      </c>
      <c r="B35" s="535" t="s">
        <v>1331</v>
      </c>
      <c r="C35" s="612">
        <v>0</v>
      </c>
      <c r="D35" s="612">
        <v>0</v>
      </c>
      <c r="E35" s="612">
        <v>759260</v>
      </c>
      <c r="F35" s="612">
        <v>0</v>
      </c>
    </row>
    <row r="36" spans="1:6" ht="17.25" customHeight="1">
      <c r="A36" s="593">
        <v>32</v>
      </c>
      <c r="B36" s="535" t="s">
        <v>1332</v>
      </c>
      <c r="C36" s="612">
        <v>2275.6999999999998</v>
      </c>
      <c r="D36" s="612">
        <v>1670600</v>
      </c>
      <c r="E36" s="612">
        <v>9837200</v>
      </c>
      <c r="F36" s="612">
        <v>9107800</v>
      </c>
    </row>
    <row r="37" spans="1:6" ht="17.25" customHeight="1">
      <c r="A37" s="593">
        <v>33</v>
      </c>
      <c r="B37" s="535" t="s">
        <v>1333</v>
      </c>
      <c r="C37" s="612">
        <v>23226.5</v>
      </c>
      <c r="D37" s="612">
        <v>17615300</v>
      </c>
      <c r="E37" s="612">
        <v>118500</v>
      </c>
      <c r="F37" s="612">
        <v>17615300</v>
      </c>
    </row>
    <row r="38" spans="1:6" ht="17.25" customHeight="1">
      <c r="A38" s="593">
        <v>34</v>
      </c>
      <c r="B38" s="535" t="s">
        <v>1334</v>
      </c>
      <c r="C38" s="612">
        <v>307.5</v>
      </c>
      <c r="D38" s="612">
        <v>151500</v>
      </c>
      <c r="E38" s="612">
        <v>0</v>
      </c>
      <c r="F38" s="612">
        <v>151500</v>
      </c>
    </row>
    <row r="39" spans="1:6" ht="17.25" customHeight="1">
      <c r="A39" s="593">
        <v>35</v>
      </c>
      <c r="B39" s="535" t="s">
        <v>1335</v>
      </c>
      <c r="C39" s="612">
        <v>2015.1</v>
      </c>
      <c r="D39" s="612">
        <v>1703900</v>
      </c>
      <c r="E39" s="612">
        <v>0</v>
      </c>
      <c r="F39" s="612">
        <v>1703900</v>
      </c>
    </row>
    <row r="40" spans="1:6" ht="17.25" customHeight="1">
      <c r="A40" s="593">
        <v>36</v>
      </c>
      <c r="B40" s="535" t="s">
        <v>1336</v>
      </c>
      <c r="C40" s="612">
        <v>96</v>
      </c>
      <c r="D40" s="612">
        <v>34000</v>
      </c>
      <c r="E40" s="612">
        <v>0</v>
      </c>
      <c r="F40" s="612">
        <v>34000</v>
      </c>
    </row>
    <row r="41" spans="1:6" ht="17.25" customHeight="1">
      <c r="A41" s="593">
        <v>37</v>
      </c>
      <c r="B41" s="535" t="s">
        <v>1337</v>
      </c>
      <c r="C41" s="612">
        <v>18621.400000000001</v>
      </c>
      <c r="D41" s="612">
        <v>18621400</v>
      </c>
      <c r="E41" s="612">
        <v>0</v>
      </c>
      <c r="F41" s="612">
        <v>18621400</v>
      </c>
    </row>
    <row r="42" spans="1:6" ht="17.25" customHeight="1">
      <c r="A42" s="593">
        <v>38</v>
      </c>
      <c r="B42" s="535" t="s">
        <v>1338</v>
      </c>
      <c r="C42" s="612">
        <v>350</v>
      </c>
      <c r="D42" s="612">
        <v>300000</v>
      </c>
      <c r="E42" s="612">
        <v>160000</v>
      </c>
      <c r="F42" s="612">
        <v>300000</v>
      </c>
    </row>
    <row r="43" spans="1:6" ht="17.25" customHeight="1">
      <c r="A43" s="593">
        <v>39</v>
      </c>
      <c r="B43" s="535" t="s">
        <v>1339</v>
      </c>
      <c r="C43" s="612">
        <v>0</v>
      </c>
      <c r="D43" s="612">
        <v>0</v>
      </c>
      <c r="E43" s="612">
        <v>0</v>
      </c>
      <c r="F43" s="612">
        <v>0</v>
      </c>
    </row>
    <row r="44" spans="1:6" ht="17.25" customHeight="1">
      <c r="A44" s="593">
        <v>40</v>
      </c>
      <c r="B44" s="535" t="s">
        <v>1340</v>
      </c>
      <c r="C44" s="612">
        <v>0</v>
      </c>
      <c r="D44" s="612">
        <v>0</v>
      </c>
      <c r="E44" s="612">
        <v>488900</v>
      </c>
      <c r="F44" s="612">
        <v>214900</v>
      </c>
    </row>
    <row r="45" spans="1:6" ht="17.25" customHeight="1">
      <c r="A45" s="593">
        <v>41</v>
      </c>
      <c r="B45" s="535" t="s">
        <v>1341</v>
      </c>
      <c r="C45" s="612">
        <v>1566.1</v>
      </c>
      <c r="D45" s="612">
        <v>1240800</v>
      </c>
      <c r="E45" s="612">
        <v>0</v>
      </c>
      <c r="F45" s="612">
        <v>1240800</v>
      </c>
    </row>
    <row r="46" spans="1:6" ht="17.25" customHeight="1">
      <c r="A46" s="593">
        <v>42</v>
      </c>
      <c r="B46" s="535" t="s">
        <v>1342</v>
      </c>
      <c r="C46" s="612">
        <v>0</v>
      </c>
      <c r="D46" s="612">
        <v>41272</v>
      </c>
      <c r="E46" s="612">
        <v>0</v>
      </c>
      <c r="F46" s="612">
        <v>41272</v>
      </c>
    </row>
    <row r="47" spans="1:6" ht="17.25" customHeight="1">
      <c r="A47" s="593">
        <v>43</v>
      </c>
      <c r="B47" s="535" t="s">
        <v>1343</v>
      </c>
      <c r="C47" s="612">
        <v>350</v>
      </c>
      <c r="D47" s="612">
        <v>350000</v>
      </c>
      <c r="E47" s="612">
        <v>0</v>
      </c>
      <c r="F47" s="612">
        <v>350000</v>
      </c>
    </row>
    <row r="48" spans="1:6" ht="17.25" customHeight="1">
      <c r="A48" s="593">
        <v>44</v>
      </c>
      <c r="B48" s="535" t="s">
        <v>1344</v>
      </c>
      <c r="C48" s="612">
        <v>350</v>
      </c>
      <c r="D48" s="612">
        <v>350000</v>
      </c>
      <c r="E48" s="612">
        <v>0</v>
      </c>
      <c r="F48" s="612">
        <v>350000</v>
      </c>
    </row>
    <row r="49" spans="1:6" ht="17.25" customHeight="1">
      <c r="A49" s="593">
        <v>45</v>
      </c>
      <c r="B49" s="535" t="s">
        <v>1345</v>
      </c>
      <c r="C49" s="612">
        <v>0</v>
      </c>
      <c r="D49" s="612">
        <v>15961648</v>
      </c>
      <c r="E49" s="612">
        <v>17913042</v>
      </c>
      <c r="F49" s="612">
        <v>22456692</v>
      </c>
    </row>
    <row r="50" spans="1:6" ht="17.25" customHeight="1">
      <c r="A50" s="594">
        <v>46</v>
      </c>
      <c r="B50" s="613" t="s">
        <v>1346</v>
      </c>
      <c r="C50" s="612">
        <v>0</v>
      </c>
      <c r="D50" s="612">
        <v>7404200.5499999998</v>
      </c>
      <c r="E50" s="612">
        <v>0</v>
      </c>
      <c r="F50" s="612">
        <v>7410263.3499999996</v>
      </c>
    </row>
    <row r="51" spans="1:6" ht="17.25" customHeight="1">
      <c r="A51" s="593">
        <v>47</v>
      </c>
      <c r="B51" s="535" t="s">
        <v>1309</v>
      </c>
      <c r="C51" s="612">
        <v>0</v>
      </c>
      <c r="D51" s="612">
        <v>7404200.5499999998</v>
      </c>
      <c r="E51" s="612">
        <f>SUM(E7-E14)</f>
        <v>6062.8000000119209</v>
      </c>
      <c r="F51" s="612">
        <v>7410263.3499999996</v>
      </c>
    </row>
    <row r="52" spans="1:6" ht="17.25" customHeight="1">
      <c r="A52" s="593">
        <v>48</v>
      </c>
      <c r="B52" s="535" t="s">
        <v>1347</v>
      </c>
      <c r="C52" s="612">
        <v>0</v>
      </c>
      <c r="D52" s="612">
        <v>0</v>
      </c>
      <c r="E52" s="612">
        <v>0</v>
      </c>
      <c r="F52" s="612">
        <v>0</v>
      </c>
    </row>
    <row r="53" spans="1:6" ht="17.25" customHeight="1">
      <c r="A53" s="593">
        <v>49</v>
      </c>
      <c r="B53" s="535" t="s">
        <v>1348</v>
      </c>
      <c r="C53" s="612">
        <v>0</v>
      </c>
      <c r="D53" s="612">
        <v>1516094.55</v>
      </c>
      <c r="E53" s="612">
        <v>0</v>
      </c>
      <c r="F53" s="614">
        <v>0</v>
      </c>
    </row>
    <row r="54" spans="1:6" ht="17.25" customHeight="1">
      <c r="A54" s="593">
        <v>50</v>
      </c>
      <c r="B54" s="617" t="s">
        <v>1349</v>
      </c>
      <c r="C54" s="612">
        <v>0</v>
      </c>
      <c r="D54" s="612">
        <v>0</v>
      </c>
      <c r="E54" s="615">
        <v>1</v>
      </c>
      <c r="F54" s="615">
        <v>1</v>
      </c>
    </row>
    <row r="55" spans="1:6" ht="17.25" customHeight="1">
      <c r="A55" s="593">
        <v>51</v>
      </c>
      <c r="B55" s="535" t="s">
        <v>1361</v>
      </c>
      <c r="C55" s="612">
        <v>0</v>
      </c>
      <c r="D55" s="612">
        <v>0</v>
      </c>
      <c r="E55" s="615">
        <v>51</v>
      </c>
      <c r="F55" s="615">
        <v>51</v>
      </c>
    </row>
    <row r="56" spans="1:6" ht="17.25" customHeight="1">
      <c r="A56" s="593">
        <v>52</v>
      </c>
      <c r="B56" s="535" t="s">
        <v>1350</v>
      </c>
      <c r="C56" s="612">
        <v>0</v>
      </c>
      <c r="D56" s="612">
        <v>0</v>
      </c>
      <c r="E56" s="615">
        <v>1</v>
      </c>
      <c r="F56" s="615">
        <v>1</v>
      </c>
    </row>
    <row r="57" spans="1:6" ht="17.25" customHeight="1">
      <c r="A57" s="593">
        <v>53</v>
      </c>
      <c r="B57" s="535" t="s">
        <v>1351</v>
      </c>
      <c r="C57" s="612">
        <v>0</v>
      </c>
      <c r="D57" s="612">
        <v>0</v>
      </c>
      <c r="E57" s="615">
        <v>23</v>
      </c>
      <c r="F57" s="615">
        <v>23</v>
      </c>
    </row>
    <row r="58" spans="1:6" ht="17.25" customHeight="1">
      <c r="A58" s="593">
        <v>54</v>
      </c>
      <c r="B58" s="535" t="s">
        <v>1352</v>
      </c>
      <c r="C58" s="612">
        <v>0</v>
      </c>
      <c r="D58" s="612">
        <v>0</v>
      </c>
      <c r="E58" s="615">
        <v>24</v>
      </c>
      <c r="F58" s="615">
        <v>24</v>
      </c>
    </row>
    <row r="59" spans="1:6" ht="17.25" customHeight="1">
      <c r="A59" s="593">
        <v>55</v>
      </c>
      <c r="B59" s="535" t="s">
        <v>1353</v>
      </c>
      <c r="C59" s="612">
        <v>0</v>
      </c>
      <c r="D59" s="612">
        <v>0</v>
      </c>
      <c r="E59" s="615">
        <v>3</v>
      </c>
      <c r="F59" s="615">
        <v>3</v>
      </c>
    </row>
    <row r="60" spans="1:6">
      <c r="A60" s="1624">
        <v>70</v>
      </c>
      <c r="B60" s="1624"/>
      <c r="C60" s="1624"/>
      <c r="D60" s="1624"/>
      <c r="E60" s="1624"/>
      <c r="F60" s="1624"/>
    </row>
  </sheetData>
  <mergeCells count="4">
    <mergeCell ref="C2:D2"/>
    <mergeCell ref="A1:F1"/>
    <mergeCell ref="A29:F29"/>
    <mergeCell ref="A60:F60"/>
  </mergeCells>
  <pageMargins left="0.7" right="0.7" top="0.75" bottom="0.52" header="0.3" footer="0.3"/>
  <pageSetup orientation="landscape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26"/>
  <sheetViews>
    <sheetView workbookViewId="0">
      <selection activeCell="A27" sqref="A27"/>
    </sheetView>
  </sheetViews>
  <sheetFormatPr defaultRowHeight="12.75"/>
  <cols>
    <col min="1" max="1" width="4" style="4" customWidth="1"/>
    <col min="2" max="2" width="41.140625" style="620" customWidth="1"/>
    <col min="3" max="4" width="20.5703125" customWidth="1"/>
  </cols>
  <sheetData>
    <row r="1" spans="1:4" ht="37.5" customHeight="1">
      <c r="A1" s="1970" t="s">
        <v>1398</v>
      </c>
      <c r="B1" s="1970"/>
      <c r="C1" s="1970"/>
      <c r="D1" s="1970"/>
    </row>
    <row r="2" spans="1:4" s="386" customFormat="1" ht="30.75" customHeight="1">
      <c r="A2" s="128" t="s">
        <v>1023</v>
      </c>
      <c r="B2" s="128" t="s">
        <v>1363</v>
      </c>
      <c r="C2" s="128" t="s">
        <v>1364</v>
      </c>
      <c r="D2" s="128" t="s">
        <v>1365</v>
      </c>
    </row>
    <row r="3" spans="1:4" ht="40.5" customHeight="1">
      <c r="A3" s="236">
        <v>1</v>
      </c>
      <c r="B3" s="1095" t="s">
        <v>1366</v>
      </c>
      <c r="C3" s="236">
        <v>2106</v>
      </c>
      <c r="D3" s="1096" t="s">
        <v>1367</v>
      </c>
    </row>
    <row r="4" spans="1:4" ht="40.5" customHeight="1">
      <c r="A4" s="236">
        <v>2</v>
      </c>
      <c r="B4" s="1095" t="s">
        <v>1368</v>
      </c>
      <c r="C4" s="236">
        <v>9995</v>
      </c>
      <c r="D4" s="236" t="s">
        <v>1369</v>
      </c>
    </row>
    <row r="5" spans="1:4" ht="40.5" customHeight="1">
      <c r="A5" s="236">
        <v>3</v>
      </c>
      <c r="B5" s="1095" t="s">
        <v>1370</v>
      </c>
      <c r="C5" s="236">
        <v>3211</v>
      </c>
      <c r="D5" s="236" t="s">
        <v>1371</v>
      </c>
    </row>
    <row r="6" spans="1:4" ht="40.5" customHeight="1">
      <c r="A6" s="236">
        <v>4</v>
      </c>
      <c r="B6" s="1095" t="s">
        <v>1372</v>
      </c>
      <c r="C6" s="236">
        <v>244</v>
      </c>
      <c r="D6" s="236" t="s">
        <v>1373</v>
      </c>
    </row>
    <row r="7" spans="1:4" ht="40.5" customHeight="1">
      <c r="A7" s="236">
        <v>5</v>
      </c>
      <c r="B7" s="1095" t="s">
        <v>1374</v>
      </c>
      <c r="C7" s="236">
        <v>35</v>
      </c>
      <c r="D7" s="1096" t="s">
        <v>1375</v>
      </c>
    </row>
    <row r="8" spans="1:4" ht="40.5" customHeight="1">
      <c r="A8" s="236">
        <v>6</v>
      </c>
      <c r="B8" s="1095" t="s">
        <v>1376</v>
      </c>
      <c r="C8" s="236">
        <v>208</v>
      </c>
      <c r="D8" s="236" t="s">
        <v>1377</v>
      </c>
    </row>
    <row r="9" spans="1:4" ht="40.5" customHeight="1">
      <c r="A9" s="236">
        <v>7</v>
      </c>
      <c r="B9" s="467" t="s">
        <v>1378</v>
      </c>
      <c r="C9" s="236">
        <v>84000</v>
      </c>
      <c r="D9" s="236" t="s">
        <v>1379</v>
      </c>
    </row>
    <row r="10" spans="1:4" ht="40.5" customHeight="1">
      <c r="A10" s="236">
        <v>8</v>
      </c>
      <c r="B10" s="467" t="s">
        <v>1380</v>
      </c>
      <c r="C10" s="236">
        <v>22000</v>
      </c>
      <c r="D10" s="236" t="s">
        <v>1381</v>
      </c>
    </row>
    <row r="11" spans="1:4" ht="40.5" customHeight="1">
      <c r="A11" s="236">
        <v>9</v>
      </c>
      <c r="B11" s="1095" t="s">
        <v>1382</v>
      </c>
      <c r="C11" s="236">
        <v>468</v>
      </c>
      <c r="D11" s="236" t="s">
        <v>1383</v>
      </c>
    </row>
    <row r="12" spans="1:4" ht="40.5" customHeight="1">
      <c r="A12" s="236">
        <v>10</v>
      </c>
      <c r="B12" s="1095" t="s">
        <v>1384</v>
      </c>
      <c r="C12" s="236">
        <v>5800</v>
      </c>
      <c r="D12" s="236" t="s">
        <v>1385</v>
      </c>
    </row>
    <row r="13" spans="1:4" ht="40.5" customHeight="1">
      <c r="A13" s="236"/>
      <c r="B13" s="1097" t="s">
        <v>1025</v>
      </c>
      <c r="C13" s="1098">
        <v>128067</v>
      </c>
      <c r="D13" s="1099">
        <v>26361944.399999999</v>
      </c>
    </row>
    <row r="14" spans="1:4">
      <c r="A14" s="51"/>
    </row>
    <row r="15" spans="1:4" ht="15">
      <c r="A15" s="618"/>
    </row>
    <row r="16" spans="1:4" ht="15">
      <c r="A16" s="619"/>
    </row>
    <row r="17" spans="1:4" ht="15">
      <c r="A17" s="619"/>
    </row>
    <row r="26" spans="1:4">
      <c r="A26" s="1971">
        <v>71</v>
      </c>
      <c r="B26" s="1971"/>
      <c r="C26" s="1971"/>
      <c r="D26" s="1971"/>
    </row>
  </sheetData>
  <mergeCells count="2">
    <mergeCell ref="A1:D1"/>
    <mergeCell ref="A26:D26"/>
  </mergeCells>
  <pageMargins left="0.7" right="0.7" top="0.75" bottom="0.75" header="0.3" footer="0.3"/>
  <pageSetup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2"/>
  <sheetViews>
    <sheetView workbookViewId="0">
      <selection activeCell="A23" sqref="A23"/>
    </sheetView>
  </sheetViews>
  <sheetFormatPr defaultRowHeight="12.75"/>
  <cols>
    <col min="1" max="1" width="3.85546875" customWidth="1"/>
    <col min="2" max="2" width="22.85546875" customWidth="1"/>
    <col min="3" max="3" width="18.28515625" customWidth="1"/>
    <col min="4" max="4" width="17.42578125" customWidth="1"/>
    <col min="5" max="5" width="17.5703125" customWidth="1"/>
    <col min="6" max="6" width="18" customWidth="1"/>
    <col min="7" max="7" width="21.140625" customWidth="1"/>
  </cols>
  <sheetData>
    <row r="1" spans="1:7" ht="28.5" customHeight="1">
      <c r="A1" s="1687" t="s">
        <v>1484</v>
      </c>
      <c r="B1" s="1514"/>
      <c r="C1" s="1514"/>
      <c r="D1" s="1514"/>
      <c r="E1" s="1514"/>
      <c r="F1" s="1514"/>
      <c r="G1" s="1514"/>
    </row>
    <row r="2" spans="1:7" ht="15">
      <c r="A2" s="674"/>
    </row>
    <row r="3" spans="1:7" ht="15">
      <c r="A3" s="675"/>
      <c r="G3" s="541" t="s">
        <v>1225</v>
      </c>
    </row>
    <row r="4" spans="1:7" ht="24" customHeight="1">
      <c r="A4" s="1414" t="s">
        <v>1023</v>
      </c>
      <c r="B4" s="1414" t="s">
        <v>1110</v>
      </c>
      <c r="C4" s="1414" t="s">
        <v>1436</v>
      </c>
      <c r="D4" s="1414" t="s">
        <v>1437</v>
      </c>
      <c r="E4" s="1414" t="s">
        <v>1438</v>
      </c>
      <c r="F4" s="1414" t="s">
        <v>1439</v>
      </c>
      <c r="G4" s="1414"/>
    </row>
    <row r="5" spans="1:7" ht="21.75" customHeight="1">
      <c r="A5" s="1414"/>
      <c r="B5" s="1414"/>
      <c r="C5" s="1414"/>
      <c r="D5" s="1414"/>
      <c r="E5" s="1414"/>
      <c r="F5" s="128" t="s">
        <v>279</v>
      </c>
      <c r="G5" s="128" t="s">
        <v>1440</v>
      </c>
    </row>
    <row r="6" spans="1:7" ht="38.25">
      <c r="A6" s="236">
        <v>1</v>
      </c>
      <c r="B6" s="550" t="s">
        <v>1441</v>
      </c>
      <c r="C6" s="236" t="s">
        <v>1442</v>
      </c>
      <c r="D6" s="236" t="s">
        <v>1443</v>
      </c>
      <c r="E6" s="236" t="s">
        <v>1444</v>
      </c>
      <c r="F6" s="236">
        <v>100</v>
      </c>
      <c r="G6" s="236">
        <v>5</v>
      </c>
    </row>
    <row r="7" spans="1:7" ht="18.75" customHeight="1">
      <c r="A7" s="236">
        <v>2</v>
      </c>
      <c r="B7" s="550" t="s">
        <v>1445</v>
      </c>
      <c r="C7" s="236">
        <v>10060.9</v>
      </c>
      <c r="D7" s="236" t="s">
        <v>1446</v>
      </c>
      <c r="E7" s="236" t="s">
        <v>1447</v>
      </c>
      <c r="F7" s="236" t="s">
        <v>1448</v>
      </c>
      <c r="G7" s="236">
        <v>4</v>
      </c>
    </row>
    <row r="8" spans="1:7" ht="18.75" customHeight="1">
      <c r="A8" s="236">
        <v>3</v>
      </c>
      <c r="B8" s="550" t="s">
        <v>1449</v>
      </c>
      <c r="C8" s="236">
        <v>13990</v>
      </c>
      <c r="D8" s="236">
        <v>24860</v>
      </c>
      <c r="E8" s="236" t="s">
        <v>1450</v>
      </c>
      <c r="F8" s="236">
        <v>155.19999999999999</v>
      </c>
      <c r="G8" s="236">
        <v>5</v>
      </c>
    </row>
    <row r="9" spans="1:7" ht="25.5">
      <c r="A9" s="236">
        <v>4</v>
      </c>
      <c r="B9" s="550" t="s">
        <v>1451</v>
      </c>
      <c r="C9" s="236" t="s">
        <v>1452</v>
      </c>
      <c r="D9" s="236" t="s">
        <v>1453</v>
      </c>
      <c r="E9" s="236" t="s">
        <v>1454</v>
      </c>
      <c r="F9" s="236" t="s">
        <v>1455</v>
      </c>
      <c r="G9" s="236">
        <v>2</v>
      </c>
    </row>
    <row r="10" spans="1:7" ht="25.5">
      <c r="A10" s="236">
        <v>5</v>
      </c>
      <c r="B10" s="550" t="s">
        <v>1456</v>
      </c>
      <c r="C10" s="236">
        <v>5120</v>
      </c>
      <c r="D10" s="236">
        <v>14149</v>
      </c>
      <c r="E10" s="236" t="s">
        <v>1457</v>
      </c>
      <c r="F10" s="236" t="s">
        <v>1458</v>
      </c>
      <c r="G10" s="236">
        <v>3</v>
      </c>
    </row>
    <row r="11" spans="1:7" ht="25.5">
      <c r="A11" s="236">
        <v>6</v>
      </c>
      <c r="B11" s="550" t="s">
        <v>1459</v>
      </c>
      <c r="C11" s="236" t="s">
        <v>1460</v>
      </c>
      <c r="D11" s="236" t="s">
        <v>1461</v>
      </c>
      <c r="E11" s="236" t="s">
        <v>1462</v>
      </c>
      <c r="F11" s="236" t="s">
        <v>1463</v>
      </c>
      <c r="G11" s="236">
        <v>1</v>
      </c>
    </row>
    <row r="12" spans="1:7">
      <c r="A12" s="236">
        <v>7</v>
      </c>
      <c r="B12" s="550" t="s">
        <v>1464</v>
      </c>
      <c r="C12" s="236">
        <v>2844</v>
      </c>
      <c r="D12" s="236">
        <v>2985</v>
      </c>
      <c r="E12" s="236" t="s">
        <v>1465</v>
      </c>
      <c r="F12" s="236" t="s">
        <v>1466</v>
      </c>
      <c r="G12" s="236">
        <v>3</v>
      </c>
    </row>
    <row r="13" spans="1:7" ht="25.5">
      <c r="A13" s="236">
        <v>8</v>
      </c>
      <c r="B13" s="550" t="s">
        <v>1467</v>
      </c>
      <c r="C13" s="236">
        <v>2448</v>
      </c>
      <c r="D13" s="236">
        <v>2216</v>
      </c>
      <c r="E13" s="236" t="s">
        <v>1468</v>
      </c>
      <c r="F13" s="236" t="s">
        <v>1469</v>
      </c>
      <c r="G13" s="236">
        <v>5</v>
      </c>
    </row>
    <row r="14" spans="1:7" ht="25.5">
      <c r="A14" s="236">
        <v>9</v>
      </c>
      <c r="B14" s="550" t="s">
        <v>1470</v>
      </c>
      <c r="C14" s="236">
        <v>52800</v>
      </c>
      <c r="D14" s="236">
        <v>52385</v>
      </c>
      <c r="E14" s="236" t="s">
        <v>1471</v>
      </c>
      <c r="F14" s="236" t="s">
        <v>1472</v>
      </c>
      <c r="G14" s="236">
        <v>4</v>
      </c>
    </row>
    <row r="15" spans="1:7" ht="38.25">
      <c r="A15" s="236">
        <v>10</v>
      </c>
      <c r="B15" s="550" t="s">
        <v>1473</v>
      </c>
      <c r="C15" s="236" t="s">
        <v>1024</v>
      </c>
      <c r="D15" s="236" t="s">
        <v>1024</v>
      </c>
      <c r="E15" s="236" t="s">
        <v>1024</v>
      </c>
      <c r="F15" s="236" t="s">
        <v>1024</v>
      </c>
      <c r="G15" s="236" t="s">
        <v>1024</v>
      </c>
    </row>
    <row r="16" spans="1:7" ht="38.25">
      <c r="A16" s="236">
        <v>11</v>
      </c>
      <c r="B16" s="550" t="s">
        <v>1474</v>
      </c>
      <c r="C16" s="236">
        <v>42</v>
      </c>
      <c r="D16" s="236">
        <v>70</v>
      </c>
      <c r="E16" s="236" t="s">
        <v>1475</v>
      </c>
      <c r="F16" s="236">
        <v>100</v>
      </c>
      <c r="G16" s="236">
        <v>5</v>
      </c>
    </row>
    <row r="17" spans="1:7" ht="25.5">
      <c r="A17" s="236">
        <v>12</v>
      </c>
      <c r="B17" s="550" t="s">
        <v>1476</v>
      </c>
      <c r="C17" s="236">
        <v>42.9</v>
      </c>
      <c r="D17" s="236">
        <v>44.5</v>
      </c>
      <c r="E17" s="236" t="s">
        <v>1477</v>
      </c>
      <c r="F17" s="236" t="s">
        <v>1478</v>
      </c>
      <c r="G17" s="236">
        <v>5</v>
      </c>
    </row>
    <row r="18" spans="1:7" ht="51">
      <c r="A18" s="236">
        <v>13</v>
      </c>
      <c r="B18" s="550" t="s">
        <v>1479</v>
      </c>
      <c r="C18" s="236">
        <v>87.7</v>
      </c>
      <c r="D18" s="236">
        <v>96.2</v>
      </c>
      <c r="E18" s="236" t="s">
        <v>1480</v>
      </c>
      <c r="F18" s="236" t="s">
        <v>1481</v>
      </c>
      <c r="G18" s="236">
        <v>5</v>
      </c>
    </row>
    <row r="19" spans="1:7" s="386" customFormat="1" ht="25.5" customHeight="1">
      <c r="A19" s="1414" t="s">
        <v>1482</v>
      </c>
      <c r="B19" s="1414"/>
      <c r="C19" s="1414"/>
      <c r="D19" s="1100"/>
      <c r="E19" s="1100"/>
      <c r="F19" s="128" t="s">
        <v>1483</v>
      </c>
      <c r="G19" s="128">
        <v>4</v>
      </c>
    </row>
    <row r="20" spans="1:7" ht="15">
      <c r="A20" s="674"/>
    </row>
    <row r="22" spans="1:7">
      <c r="A22" s="1462">
        <v>72</v>
      </c>
      <c r="B22" s="1462"/>
      <c r="C22" s="1462"/>
      <c r="D22" s="1462"/>
      <c r="E22" s="1462"/>
      <c r="F22" s="1462"/>
      <c r="G22" s="1462"/>
    </row>
  </sheetData>
  <mergeCells count="9">
    <mergeCell ref="A22:G22"/>
    <mergeCell ref="A1:G1"/>
    <mergeCell ref="A19:C19"/>
    <mergeCell ref="A4:A5"/>
    <mergeCell ref="B4:B5"/>
    <mergeCell ref="C4:C5"/>
    <mergeCell ref="D4:D5"/>
    <mergeCell ref="E4:E5"/>
    <mergeCell ref="F4:G4"/>
  </mergeCells>
  <pageMargins left="0.7" right="0.7" top="0.75" bottom="0.35" header="0.3" footer="0.3"/>
  <pageSetup orientation="landscape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27"/>
  <sheetViews>
    <sheetView workbookViewId="0">
      <selection activeCell="A2" sqref="A2:F2"/>
    </sheetView>
  </sheetViews>
  <sheetFormatPr defaultRowHeight="12.75"/>
  <cols>
    <col min="1" max="1" width="5.28515625" customWidth="1"/>
    <col min="2" max="2" width="28" customWidth="1"/>
    <col min="3" max="3" width="35.7109375" customWidth="1"/>
    <col min="4" max="4" width="12.28515625" customWidth="1"/>
    <col min="5" max="5" width="24.7109375" customWidth="1"/>
    <col min="6" max="6" width="16.28515625" customWidth="1"/>
  </cols>
  <sheetData>
    <row r="1" spans="1:11">
      <c r="A1" s="1514" t="s">
        <v>1399</v>
      </c>
      <c r="B1" s="1514"/>
      <c r="C1" s="1514"/>
      <c r="D1" s="1514"/>
      <c r="E1" s="1514"/>
      <c r="F1" s="1514"/>
      <c r="G1" s="99"/>
      <c r="H1" s="99"/>
      <c r="I1" s="99"/>
      <c r="J1" s="99"/>
      <c r="K1" s="99"/>
    </row>
    <row r="2" spans="1:11">
      <c r="A2" s="1514" t="s">
        <v>1400</v>
      </c>
      <c r="B2" s="1514"/>
      <c r="C2" s="1514"/>
      <c r="D2" s="1514"/>
      <c r="E2" s="1514"/>
      <c r="F2" s="1514"/>
      <c r="G2" s="99"/>
      <c r="H2" s="99"/>
      <c r="I2" s="99"/>
      <c r="J2" s="99"/>
      <c r="K2" s="99"/>
    </row>
    <row r="3" spans="1:11">
      <c r="A3" s="1514"/>
      <c r="B3" s="1514"/>
      <c r="C3" s="1514"/>
      <c r="D3" s="1514"/>
      <c r="E3" s="1514"/>
      <c r="F3" s="1514"/>
      <c r="G3" s="99"/>
      <c r="H3" s="99"/>
      <c r="I3" s="99"/>
      <c r="J3" s="99"/>
      <c r="K3" s="99"/>
    </row>
    <row r="4" spans="1:11">
      <c r="A4" s="1678" t="s">
        <v>1237</v>
      </c>
      <c r="B4" s="1678"/>
      <c r="C4" s="1678"/>
      <c r="D4" s="1678"/>
      <c r="E4" s="1678"/>
      <c r="F4" s="1678"/>
      <c r="G4" s="99"/>
      <c r="H4" s="99"/>
      <c r="I4" s="99"/>
      <c r="J4" s="99"/>
      <c r="K4" s="99"/>
    </row>
    <row r="5" spans="1:11">
      <c r="A5" s="591" t="s">
        <v>1258</v>
      </c>
      <c r="B5" s="99"/>
      <c r="C5" s="99"/>
      <c r="D5" s="99"/>
      <c r="E5" s="99"/>
      <c r="F5" s="99"/>
      <c r="G5" s="99"/>
      <c r="H5" s="99"/>
      <c r="I5" s="99"/>
      <c r="J5" s="99"/>
      <c r="K5" s="99"/>
    </row>
    <row r="6" spans="1:11">
      <c r="A6" s="591" t="s">
        <v>1259</v>
      </c>
      <c r="B6" s="99"/>
      <c r="C6" s="99"/>
      <c r="D6" s="99"/>
      <c r="E6" s="99"/>
      <c r="F6" s="99"/>
      <c r="G6" s="99"/>
      <c r="H6" s="99"/>
      <c r="I6" s="99"/>
      <c r="J6" s="99"/>
      <c r="K6" s="99"/>
    </row>
    <row r="7" spans="1:11">
      <c r="A7" s="591" t="s">
        <v>1260</v>
      </c>
      <c r="B7" s="99"/>
      <c r="C7" s="99"/>
      <c r="D7" s="99"/>
      <c r="E7" s="99"/>
      <c r="F7" s="99"/>
      <c r="G7" s="99"/>
      <c r="H7" s="99"/>
      <c r="I7" s="99"/>
      <c r="J7" s="99"/>
      <c r="K7" s="99"/>
    </row>
    <row r="8" spans="1:11">
      <c r="A8" s="591" t="s">
        <v>1261</v>
      </c>
      <c r="B8" s="99"/>
      <c r="C8" s="99"/>
      <c r="D8" s="99"/>
      <c r="E8" s="99"/>
      <c r="F8" s="99"/>
      <c r="G8" s="99"/>
      <c r="H8" s="99"/>
      <c r="I8" s="99"/>
      <c r="J8" s="99"/>
      <c r="K8" s="99"/>
    </row>
    <row r="9" spans="1:11">
      <c r="A9" s="591"/>
      <c r="B9" s="99"/>
      <c r="C9" s="99"/>
      <c r="D9" s="99"/>
      <c r="E9" s="99"/>
      <c r="F9" s="541" t="s">
        <v>1225</v>
      </c>
      <c r="G9" s="99"/>
      <c r="H9" s="99"/>
      <c r="I9" s="99"/>
      <c r="J9" s="99"/>
      <c r="K9" s="99"/>
    </row>
    <row r="10" spans="1:11" ht="30">
      <c r="A10" s="1101" t="s">
        <v>1023</v>
      </c>
      <c r="B10" s="1101" t="s">
        <v>1022</v>
      </c>
      <c r="C10" s="1101" t="s">
        <v>1238</v>
      </c>
      <c r="D10" s="1101" t="s">
        <v>1239</v>
      </c>
      <c r="E10" s="1101" t="s">
        <v>1240</v>
      </c>
      <c r="F10" s="1101" t="s">
        <v>1241</v>
      </c>
    </row>
    <row r="11" spans="1:11" ht="81" customHeight="1">
      <c r="A11" s="1102" t="s">
        <v>1262</v>
      </c>
      <c r="B11" s="1103" t="s">
        <v>1242</v>
      </c>
      <c r="C11" s="1102" t="s">
        <v>1243</v>
      </c>
      <c r="D11" s="863" t="s">
        <v>1267</v>
      </c>
      <c r="E11" s="863" t="s">
        <v>1244</v>
      </c>
      <c r="F11" s="863">
        <v>7587500</v>
      </c>
    </row>
    <row r="12" spans="1:11" ht="121.5" customHeight="1">
      <c r="A12" s="1973" t="s">
        <v>1263</v>
      </c>
      <c r="B12" s="1974" t="s">
        <v>1245</v>
      </c>
      <c r="C12" s="1973" t="s">
        <v>1246</v>
      </c>
      <c r="D12" s="1102" t="s">
        <v>1269</v>
      </c>
      <c r="E12" s="1711" t="s">
        <v>1248</v>
      </c>
      <c r="F12" s="1711">
        <v>10712599</v>
      </c>
    </row>
    <row r="13" spans="1:11" ht="29.25" hidden="1" customHeight="1" thickBot="1">
      <c r="A13" s="1973"/>
      <c r="B13" s="1974"/>
      <c r="C13" s="1973"/>
      <c r="D13" s="1104" t="s">
        <v>1247</v>
      </c>
      <c r="E13" s="1711"/>
      <c r="F13" s="1711"/>
    </row>
    <row r="14" spans="1:11" ht="72.75" customHeight="1">
      <c r="A14" s="1973" t="s">
        <v>1264</v>
      </c>
      <c r="B14" s="1972" t="s">
        <v>1249</v>
      </c>
      <c r="C14" s="1972" t="s">
        <v>1250</v>
      </c>
      <c r="D14" s="863" t="s">
        <v>1270</v>
      </c>
      <c r="E14" s="863" t="s">
        <v>1252</v>
      </c>
      <c r="F14" s="1711">
        <v>1000000</v>
      </c>
    </row>
    <row r="15" spans="1:11" ht="15" hidden="1" customHeight="1" thickBot="1">
      <c r="A15" s="1973"/>
      <c r="B15" s="1972"/>
      <c r="C15" s="1972"/>
      <c r="D15" s="1104" t="s">
        <v>1251</v>
      </c>
      <c r="E15" s="1104" t="s">
        <v>1253</v>
      </c>
      <c r="F15" s="1711"/>
    </row>
    <row r="16" spans="1:11" ht="15" hidden="1" customHeight="1" thickBot="1">
      <c r="A16" s="1973"/>
      <c r="B16" s="1972"/>
      <c r="C16" s="1972"/>
      <c r="D16" s="1104"/>
      <c r="E16" s="1104"/>
      <c r="F16" s="1711"/>
    </row>
    <row r="17" spans="1:6" ht="14.25" customHeight="1">
      <c r="A17" s="1973" t="s">
        <v>1265</v>
      </c>
      <c r="B17" s="1974" t="s">
        <v>1254</v>
      </c>
      <c r="C17" s="1974" t="s">
        <v>1268</v>
      </c>
      <c r="D17" s="1972" t="s">
        <v>1255</v>
      </c>
      <c r="E17" s="1711" t="s">
        <v>1256</v>
      </c>
      <c r="F17" s="1711">
        <v>28136707</v>
      </c>
    </row>
    <row r="18" spans="1:6">
      <c r="A18" s="1973"/>
      <c r="B18" s="1974"/>
      <c r="C18" s="1974"/>
      <c r="D18" s="1972"/>
      <c r="E18" s="1711"/>
      <c r="F18" s="1711"/>
    </row>
    <row r="19" spans="1:6" ht="23.25" customHeight="1">
      <c r="A19" s="1973"/>
      <c r="B19" s="1974"/>
      <c r="C19" s="1974"/>
      <c r="D19" s="1972"/>
      <c r="E19" s="1711"/>
      <c r="F19" s="1711"/>
    </row>
    <row r="20" spans="1:6" ht="30">
      <c r="A20" s="1105" t="s">
        <v>1266</v>
      </c>
      <c r="B20" s="1975" t="s">
        <v>1257</v>
      </c>
      <c r="C20" s="1975"/>
      <c r="D20" s="1975"/>
      <c r="E20" s="1975"/>
      <c r="F20" s="1101">
        <v>47436806</v>
      </c>
    </row>
    <row r="21" spans="1:6" ht="14.25">
      <c r="A21" s="592"/>
      <c r="B21" s="592"/>
      <c r="C21" s="592"/>
      <c r="D21" s="592"/>
      <c r="E21" s="592"/>
      <c r="F21" s="592"/>
    </row>
    <row r="22" spans="1:6" ht="14.25">
      <c r="A22" s="1775"/>
      <c r="B22" s="1775"/>
      <c r="C22" s="1775"/>
      <c r="D22" s="1775"/>
      <c r="E22" s="1775"/>
      <c r="F22" s="1775"/>
    </row>
    <row r="24" spans="1:6" ht="14.25">
      <c r="A24" s="1775">
        <v>73</v>
      </c>
      <c r="B24" s="1775"/>
      <c r="C24" s="1775"/>
      <c r="D24" s="1775"/>
      <c r="E24" s="1775"/>
      <c r="F24" s="1775"/>
    </row>
    <row r="27" spans="1:6">
      <c r="C27" s="295"/>
    </row>
  </sheetData>
  <mergeCells count="22">
    <mergeCell ref="A24:F24"/>
    <mergeCell ref="C12:C13"/>
    <mergeCell ref="F12:F13"/>
    <mergeCell ref="B12:B13"/>
    <mergeCell ref="E12:E13"/>
    <mergeCell ref="F17:F19"/>
    <mergeCell ref="B17:B19"/>
    <mergeCell ref="A22:F22"/>
    <mergeCell ref="B20:E20"/>
    <mergeCell ref="A14:A16"/>
    <mergeCell ref="F14:F16"/>
    <mergeCell ref="A17:A19"/>
    <mergeCell ref="D17:D19"/>
    <mergeCell ref="E17:E19"/>
    <mergeCell ref="C17:C19"/>
    <mergeCell ref="C14:C16"/>
    <mergeCell ref="B14:B16"/>
    <mergeCell ref="A1:F1"/>
    <mergeCell ref="A2:F2"/>
    <mergeCell ref="A3:F3"/>
    <mergeCell ref="A4:F4"/>
    <mergeCell ref="A12:A13"/>
  </mergeCells>
  <pageMargins left="0.7" right="0.7" top="0.51" bottom="0.47" header="0.3" footer="0.3"/>
  <pageSetup orientation="landscape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4"/>
  <sheetViews>
    <sheetView workbookViewId="0">
      <selection activeCell="F13" sqref="F13"/>
    </sheetView>
  </sheetViews>
  <sheetFormatPr defaultRowHeight="12.75"/>
  <cols>
    <col min="1" max="1" width="19.5703125" style="1107" customWidth="1"/>
    <col min="2" max="2" width="22.85546875" style="1107" customWidth="1"/>
    <col min="3" max="3" width="17" style="1107" customWidth="1"/>
    <col min="4" max="4" width="21.7109375" style="1107" customWidth="1"/>
    <col min="5" max="5" width="14.7109375" style="1107" customWidth="1"/>
    <col min="6" max="6" width="14.85546875" style="1107" customWidth="1"/>
    <col min="7" max="16384" width="9.140625" style="1107"/>
  </cols>
  <sheetData>
    <row r="1" spans="1:6" ht="27" customHeight="1">
      <c r="A1" s="1642" t="s">
        <v>1541</v>
      </c>
      <c r="B1" s="1642"/>
      <c r="C1" s="1642"/>
      <c r="D1" s="1642"/>
      <c r="E1" s="1106"/>
      <c r="F1" s="1106"/>
    </row>
    <row r="2" spans="1:6" ht="26.25" customHeight="1">
      <c r="A2" s="1977" t="s">
        <v>1521</v>
      </c>
      <c r="B2" s="1977"/>
      <c r="C2" s="1977" t="s">
        <v>1525</v>
      </c>
      <c r="D2" s="1977">
        <v>2012</v>
      </c>
    </row>
    <row r="3" spans="1:6">
      <c r="A3" s="1977"/>
      <c r="B3" s="1977"/>
      <c r="C3" s="1977"/>
      <c r="D3" s="1977"/>
    </row>
    <row r="4" spans="1:6" ht="17.25" customHeight="1">
      <c r="A4" s="1977" t="s">
        <v>1522</v>
      </c>
      <c r="B4" s="1108" t="s">
        <v>1526</v>
      </c>
      <c r="C4" s="1109" t="s">
        <v>274</v>
      </c>
      <c r="D4" s="1109">
        <v>163</v>
      </c>
      <c r="E4" s="1980"/>
      <c r="F4" s="1980"/>
    </row>
    <row r="5" spans="1:6" ht="17.25" customHeight="1">
      <c r="A5" s="1977"/>
      <c r="B5" s="1108" t="s">
        <v>1527</v>
      </c>
      <c r="C5" s="1109" t="s">
        <v>367</v>
      </c>
      <c r="D5" s="1110">
        <v>10252</v>
      </c>
      <c r="E5" s="1111"/>
      <c r="F5" s="1111"/>
    </row>
    <row r="6" spans="1:6" ht="17.25" customHeight="1">
      <c r="A6" s="1977"/>
      <c r="B6" s="1112" t="s">
        <v>912</v>
      </c>
      <c r="C6" s="1113"/>
      <c r="D6" s="1114"/>
      <c r="E6" s="1115"/>
      <c r="F6" s="1115"/>
    </row>
    <row r="7" spans="1:6" ht="17.25" customHeight="1">
      <c r="A7" s="1977"/>
      <c r="B7" s="1108" t="s">
        <v>373</v>
      </c>
      <c r="C7" s="1113"/>
      <c r="D7" s="1114"/>
      <c r="E7" s="1115"/>
      <c r="F7" s="1115"/>
    </row>
    <row r="8" spans="1:6" ht="17.25" customHeight="1">
      <c r="A8" s="1977"/>
      <c r="B8" s="1112" t="s">
        <v>1529</v>
      </c>
      <c r="C8" s="1113" t="s">
        <v>274</v>
      </c>
      <c r="D8" s="1113">
        <v>2</v>
      </c>
      <c r="E8" s="1115"/>
      <c r="F8" s="1115"/>
    </row>
    <row r="9" spans="1:6" ht="17.25" customHeight="1">
      <c r="A9" s="1977"/>
      <c r="B9" s="1112" t="s">
        <v>1530</v>
      </c>
      <c r="C9" s="1113" t="s">
        <v>367</v>
      </c>
      <c r="D9" s="1116">
        <v>42</v>
      </c>
      <c r="E9" s="1115"/>
      <c r="F9" s="1115"/>
    </row>
    <row r="10" spans="1:6" ht="17.25" customHeight="1">
      <c r="A10" s="1977"/>
      <c r="B10" s="1108" t="s">
        <v>1528</v>
      </c>
      <c r="C10" s="1113"/>
      <c r="D10" s="1113"/>
      <c r="E10" s="1115"/>
      <c r="F10" s="1115"/>
    </row>
    <row r="11" spans="1:6" ht="17.25" customHeight="1">
      <c r="A11" s="1977"/>
      <c r="B11" s="1112" t="s">
        <v>1529</v>
      </c>
      <c r="C11" s="1113" t="s">
        <v>274</v>
      </c>
      <c r="D11" s="1113">
        <v>12</v>
      </c>
      <c r="E11" s="1115"/>
      <c r="F11" s="1115"/>
    </row>
    <row r="12" spans="1:6" ht="17.25" customHeight="1">
      <c r="A12" s="1977"/>
      <c r="B12" s="1112" t="s">
        <v>1530</v>
      </c>
      <c r="C12" s="1113" t="s">
        <v>367</v>
      </c>
      <c r="D12" s="1116">
        <v>42</v>
      </c>
      <c r="E12" s="1115"/>
      <c r="F12" s="1115"/>
    </row>
    <row r="13" spans="1:6">
      <c r="A13" s="1977"/>
      <c r="B13" s="1117" t="s">
        <v>1542</v>
      </c>
      <c r="C13" s="1113"/>
      <c r="D13" s="1113"/>
    </row>
    <row r="14" spans="1:6" ht="15.75" customHeight="1">
      <c r="A14" s="1977"/>
      <c r="B14" s="1112" t="s">
        <v>1529</v>
      </c>
      <c r="C14" s="1113" t="s">
        <v>274</v>
      </c>
      <c r="D14" s="1113">
        <v>108</v>
      </c>
    </row>
    <row r="15" spans="1:6" ht="15.75" customHeight="1">
      <c r="A15" s="1977"/>
      <c r="B15" s="1112" t="s">
        <v>1530</v>
      </c>
      <c r="C15" s="1113" t="s">
        <v>367</v>
      </c>
      <c r="D15" s="1116">
        <v>6804</v>
      </c>
    </row>
    <row r="16" spans="1:6" ht="15.75" customHeight="1">
      <c r="A16" s="1977"/>
      <c r="B16" s="1108" t="s">
        <v>1543</v>
      </c>
      <c r="C16" s="1113"/>
      <c r="D16" s="1113"/>
    </row>
    <row r="17" spans="1:4" ht="15.75" customHeight="1">
      <c r="A17" s="1977"/>
      <c r="B17" s="1112" t="s">
        <v>1529</v>
      </c>
      <c r="C17" s="1113" t="s">
        <v>274</v>
      </c>
      <c r="D17" s="1113">
        <v>40</v>
      </c>
    </row>
    <row r="18" spans="1:4" ht="15.75" customHeight="1">
      <c r="A18" s="1977"/>
      <c r="B18" s="1112" t="s">
        <v>1530</v>
      </c>
      <c r="C18" s="1113" t="s">
        <v>367</v>
      </c>
      <c r="D18" s="1116">
        <v>2600</v>
      </c>
    </row>
    <row r="19" spans="1:4" ht="15.75" customHeight="1">
      <c r="A19" s="1977" t="s">
        <v>1523</v>
      </c>
      <c r="B19" s="1112" t="s">
        <v>1524</v>
      </c>
      <c r="C19" s="1113" t="s">
        <v>274</v>
      </c>
      <c r="D19" s="1113">
        <v>268</v>
      </c>
    </row>
    <row r="20" spans="1:4" ht="15.75" customHeight="1">
      <c r="A20" s="1977"/>
      <c r="B20" s="1112" t="s">
        <v>1527</v>
      </c>
      <c r="C20" s="1113" t="s">
        <v>367</v>
      </c>
      <c r="D20" s="1116">
        <v>13874</v>
      </c>
    </row>
    <row r="21" spans="1:4" ht="28.5" customHeight="1">
      <c r="A21" s="1978" t="s">
        <v>1531</v>
      </c>
      <c r="B21" s="1979"/>
      <c r="C21" s="1113"/>
      <c r="D21" s="1114"/>
    </row>
    <row r="22" spans="1:4" ht="15.75" customHeight="1">
      <c r="A22" s="1977" t="s">
        <v>1522</v>
      </c>
      <c r="B22" s="1112" t="s">
        <v>1524</v>
      </c>
      <c r="C22" s="1113" t="s">
        <v>274</v>
      </c>
      <c r="D22" s="1113">
        <v>676</v>
      </c>
    </row>
    <row r="23" spans="1:4" ht="15.75" customHeight="1">
      <c r="A23" s="1977"/>
      <c r="B23" s="1112" t="s">
        <v>1527</v>
      </c>
      <c r="C23" s="1113" t="s">
        <v>367</v>
      </c>
      <c r="D23" s="1113">
        <v>39126.5</v>
      </c>
    </row>
    <row r="24" spans="1:4" ht="15.75" customHeight="1">
      <c r="A24" s="1977"/>
      <c r="B24" s="1112" t="s">
        <v>912</v>
      </c>
      <c r="C24" s="1113"/>
      <c r="D24" s="1114"/>
    </row>
    <row r="25" spans="1:4" ht="15.75" customHeight="1">
      <c r="A25" s="1977"/>
      <c r="B25" s="1108" t="s">
        <v>1532</v>
      </c>
      <c r="C25" s="1113"/>
      <c r="D25" s="1114"/>
    </row>
    <row r="26" spans="1:4" ht="15.75" customHeight="1">
      <c r="A26" s="1977"/>
      <c r="B26" s="1112" t="s">
        <v>1529</v>
      </c>
      <c r="C26" s="1113" t="s">
        <v>274</v>
      </c>
      <c r="D26" s="1113">
        <v>623</v>
      </c>
    </row>
    <row r="27" spans="1:4" ht="15.75" customHeight="1">
      <c r="A27" s="1977"/>
      <c r="B27" s="1112" t="s">
        <v>1530</v>
      </c>
      <c r="C27" s="1113" t="s">
        <v>367</v>
      </c>
      <c r="D27" s="1113"/>
    </row>
    <row r="28" spans="1:4" ht="15.75" customHeight="1">
      <c r="A28" s="1977"/>
      <c r="B28" s="1117" t="s">
        <v>1533</v>
      </c>
      <c r="C28" s="1113"/>
      <c r="D28" s="1113"/>
    </row>
    <row r="29" spans="1:4" ht="15.75" customHeight="1">
      <c r="A29" s="1977"/>
      <c r="B29" s="1112" t="s">
        <v>1529</v>
      </c>
      <c r="C29" s="1113" t="s">
        <v>274</v>
      </c>
      <c r="D29" s="1113">
        <v>30</v>
      </c>
    </row>
    <row r="30" spans="1:4" ht="15.75" customHeight="1">
      <c r="A30" s="1977"/>
      <c r="B30" s="1112" t="s">
        <v>1530</v>
      </c>
      <c r="C30" s="1113" t="s">
        <v>367</v>
      </c>
      <c r="D30" s="1113"/>
    </row>
    <row r="31" spans="1:4" ht="15.75" customHeight="1">
      <c r="A31" s="1977"/>
      <c r="B31" s="1108" t="s">
        <v>33</v>
      </c>
      <c r="C31" s="1113"/>
      <c r="D31" s="1113"/>
    </row>
    <row r="32" spans="1:4" ht="15.75" customHeight="1">
      <c r="A32" s="1977"/>
      <c r="B32" s="1112" t="s">
        <v>1529</v>
      </c>
      <c r="C32" s="1113" t="s">
        <v>274</v>
      </c>
      <c r="D32" s="1113">
        <v>23</v>
      </c>
    </row>
    <row r="33" spans="1:4" ht="15.75" customHeight="1">
      <c r="A33" s="1977"/>
      <c r="B33" s="1112" t="s">
        <v>1530</v>
      </c>
      <c r="C33" s="1113" t="s">
        <v>367</v>
      </c>
      <c r="D33" s="1114"/>
    </row>
    <row r="34" spans="1:4">
      <c r="A34" s="1977" t="s">
        <v>1523</v>
      </c>
      <c r="B34" s="1114" t="s">
        <v>1524</v>
      </c>
      <c r="C34" s="1113" t="s">
        <v>274</v>
      </c>
      <c r="D34" s="1113">
        <v>268</v>
      </c>
    </row>
    <row r="35" spans="1:4">
      <c r="A35" s="1977"/>
      <c r="B35" s="1114" t="s">
        <v>1527</v>
      </c>
      <c r="C35" s="1113" t="s">
        <v>367</v>
      </c>
      <c r="D35" s="1113">
        <v>13874</v>
      </c>
    </row>
    <row r="36" spans="1:4" ht="17.25" customHeight="1">
      <c r="A36" s="1977" t="s">
        <v>1534</v>
      </c>
      <c r="B36" s="1112" t="s">
        <v>174</v>
      </c>
      <c r="C36" s="1113" t="s">
        <v>274</v>
      </c>
      <c r="D36" s="1113">
        <v>17582</v>
      </c>
    </row>
    <row r="37" spans="1:4" ht="17.25" customHeight="1">
      <c r="A37" s="1977"/>
      <c r="B37" s="1112" t="s">
        <v>1535</v>
      </c>
      <c r="C37" s="1113" t="s">
        <v>306</v>
      </c>
      <c r="D37" s="1113">
        <v>67763.5</v>
      </c>
    </row>
    <row r="38" spans="1:4" ht="17.25" customHeight="1">
      <c r="A38" s="1109" t="s">
        <v>1536</v>
      </c>
      <c r="B38" s="1112" t="s">
        <v>1537</v>
      </c>
      <c r="C38" s="1113" t="s">
        <v>306</v>
      </c>
      <c r="D38" s="1113">
        <v>212.4</v>
      </c>
    </row>
    <row r="39" spans="1:4" ht="17.25" customHeight="1">
      <c r="A39" s="1109"/>
      <c r="B39" s="330" t="s">
        <v>1538</v>
      </c>
      <c r="C39" s="1113" t="s">
        <v>306</v>
      </c>
      <c r="D39" s="1113">
        <v>9937.7000000000007</v>
      </c>
    </row>
    <row r="40" spans="1:4" ht="17.25" customHeight="1">
      <c r="A40" s="1981" t="s">
        <v>1539</v>
      </c>
      <c r="B40" s="1982"/>
      <c r="C40" s="1113" t="s">
        <v>306</v>
      </c>
      <c r="D40" s="1113">
        <v>393331.4</v>
      </c>
    </row>
    <row r="41" spans="1:4" ht="26.25" customHeight="1">
      <c r="A41" s="1978" t="s">
        <v>1540</v>
      </c>
      <c r="B41" s="1979"/>
      <c r="C41" s="1109" t="s">
        <v>306</v>
      </c>
      <c r="D41" s="1109">
        <v>471032.5</v>
      </c>
    </row>
    <row r="44" spans="1:4">
      <c r="A44" s="1976">
        <v>74</v>
      </c>
      <c r="B44" s="1976"/>
      <c r="C44" s="1976"/>
      <c r="D44" s="1976"/>
    </row>
  </sheetData>
  <mergeCells count="14">
    <mergeCell ref="E4:F4"/>
    <mergeCell ref="A22:A33"/>
    <mergeCell ref="A40:B40"/>
    <mergeCell ref="A41:B41"/>
    <mergeCell ref="A36:A37"/>
    <mergeCell ref="A44:D44"/>
    <mergeCell ref="A1:D1"/>
    <mergeCell ref="D2:D3"/>
    <mergeCell ref="A19:A20"/>
    <mergeCell ref="A4:A18"/>
    <mergeCell ref="A21:B21"/>
    <mergeCell ref="A2:B3"/>
    <mergeCell ref="C2:C3"/>
    <mergeCell ref="A34:A35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S156"/>
  <sheetViews>
    <sheetView workbookViewId="0">
      <selection activeCell="C1" sqref="C1:I1"/>
    </sheetView>
  </sheetViews>
  <sheetFormatPr defaultRowHeight="12.75"/>
  <cols>
    <col min="1" max="1" width="0.85546875" style="376" customWidth="1"/>
    <col min="2" max="2" width="26.42578125" style="376" customWidth="1"/>
    <col min="3" max="3" width="12.5703125" style="376" customWidth="1"/>
    <col min="4" max="4" width="12.42578125" style="376" customWidth="1"/>
    <col min="5" max="5" width="9.5703125" style="376" customWidth="1"/>
    <col min="6" max="6" width="12.7109375" style="376" customWidth="1"/>
    <col min="7" max="7" width="12.28515625" style="376" customWidth="1"/>
    <col min="8" max="8" width="12" style="376" customWidth="1"/>
    <col min="9" max="9" width="10" style="376" customWidth="1"/>
    <col min="10" max="10" width="13" style="376" customWidth="1"/>
    <col min="11" max="16384" width="9.140625" style="376"/>
  </cols>
  <sheetData>
    <row r="1" spans="2:19" ht="24" customHeight="1">
      <c r="B1" s="426" t="s">
        <v>749</v>
      </c>
      <c r="C1" s="1539" t="s">
        <v>386</v>
      </c>
      <c r="D1" s="1539"/>
      <c r="E1" s="1539"/>
      <c r="F1" s="1539"/>
      <c r="G1" s="1539"/>
      <c r="H1" s="1539"/>
      <c r="I1" s="1539"/>
      <c r="J1" s="427"/>
    </row>
    <row r="2" spans="2:19" ht="12.75" customHeight="1">
      <c r="B2" s="370" t="s">
        <v>1225</v>
      </c>
      <c r="C2" s="428"/>
      <c r="H2" s="1987" t="s">
        <v>369</v>
      </c>
      <c r="I2" s="1987"/>
      <c r="J2" s="1987"/>
    </row>
    <row r="3" spans="2:19" ht="15.75" customHeight="1">
      <c r="B3" s="1500" t="s">
        <v>750</v>
      </c>
      <c r="C3" s="1556" t="s">
        <v>751</v>
      </c>
      <c r="D3" s="1557"/>
      <c r="E3" s="429">
        <v>2012</v>
      </c>
      <c r="F3" s="283" t="s">
        <v>388</v>
      </c>
      <c r="G3" s="430" t="s">
        <v>387</v>
      </c>
      <c r="H3" s="431"/>
      <c r="I3" s="429">
        <v>2012</v>
      </c>
      <c r="J3" s="283" t="s">
        <v>388</v>
      </c>
    </row>
    <row r="4" spans="2:19" ht="15" customHeight="1">
      <c r="B4" s="1500"/>
      <c r="C4" s="282">
        <v>2011</v>
      </c>
      <c r="D4" s="282">
        <v>2012</v>
      </c>
      <c r="E4" s="380">
        <v>2011</v>
      </c>
      <c r="F4" s="380" t="s">
        <v>389</v>
      </c>
      <c r="G4" s="282">
        <v>2011</v>
      </c>
      <c r="H4" s="282">
        <v>2012</v>
      </c>
      <c r="I4" s="380">
        <v>2011</v>
      </c>
      <c r="J4" s="380" t="s">
        <v>389</v>
      </c>
      <c r="K4" s="279"/>
      <c r="L4" s="279"/>
      <c r="M4" s="279"/>
      <c r="N4" s="279"/>
      <c r="O4" s="279"/>
      <c r="P4" s="279"/>
      <c r="Q4" s="279"/>
      <c r="R4" s="279"/>
      <c r="S4" s="279"/>
    </row>
    <row r="5" spans="2:19" ht="16.5" customHeight="1">
      <c r="B5" s="432" t="s">
        <v>390</v>
      </c>
      <c r="C5" s="433">
        <v>3130845.2</v>
      </c>
      <c r="D5" s="409">
        <v>3987510.1</v>
      </c>
      <c r="E5" s="433">
        <f t="shared" ref="E5:E20" si="0">+D5/C5*100</f>
        <v>127.36209698262948</v>
      </c>
      <c r="F5" s="433">
        <f t="shared" ref="F5:F20" si="1">+D5-C5</f>
        <v>856664.89999999991</v>
      </c>
      <c r="G5" s="433">
        <v>3130845.2</v>
      </c>
      <c r="H5" s="409">
        <v>3987510.1</v>
      </c>
      <c r="I5" s="433">
        <f t="shared" ref="I5:I20" si="2">+H5/G5*100</f>
        <v>127.36209698262948</v>
      </c>
      <c r="J5" s="433">
        <f t="shared" ref="J5:J20" si="3">+H5-G5</f>
        <v>856664.89999999991</v>
      </c>
      <c r="K5" s="279"/>
      <c r="L5" s="279"/>
      <c r="M5" s="279"/>
      <c r="N5" s="279"/>
      <c r="O5" s="279"/>
      <c r="P5" s="279"/>
      <c r="Q5" s="279"/>
      <c r="R5" s="279"/>
      <c r="S5" s="279"/>
    </row>
    <row r="6" spans="2:19" ht="16.5" customHeight="1">
      <c r="B6" s="432" t="s">
        <v>391</v>
      </c>
      <c r="C6" s="433">
        <v>2322680.1</v>
      </c>
      <c r="D6" s="409">
        <v>3856926.3</v>
      </c>
      <c r="E6" s="433">
        <f t="shared" si="0"/>
        <v>166.05499397011238</v>
      </c>
      <c r="F6" s="433">
        <f t="shared" si="1"/>
        <v>1534246.1999999997</v>
      </c>
      <c r="G6" s="433">
        <v>2369117.4</v>
      </c>
      <c r="H6" s="409">
        <v>3559721.8</v>
      </c>
      <c r="I6" s="433">
        <f t="shared" si="2"/>
        <v>150.25518786025546</v>
      </c>
      <c r="J6" s="433">
        <f t="shared" si="3"/>
        <v>1190604.3999999999</v>
      </c>
      <c r="K6" s="279"/>
      <c r="L6" s="279"/>
      <c r="M6" s="279"/>
      <c r="N6" s="279"/>
      <c r="O6" s="279"/>
      <c r="P6" s="279"/>
      <c r="Q6" s="279"/>
      <c r="R6" s="279"/>
      <c r="S6" s="279"/>
    </row>
    <row r="7" spans="2:19" ht="16.5" customHeight="1">
      <c r="B7" s="432" t="s">
        <v>392</v>
      </c>
      <c r="C7" s="433">
        <v>9539958.0999999996</v>
      </c>
      <c r="D7" s="409">
        <v>11907122.300000001</v>
      </c>
      <c r="E7" s="433">
        <f t="shared" si="0"/>
        <v>124.81315090891229</v>
      </c>
      <c r="F7" s="433">
        <f t="shared" si="1"/>
        <v>2367164.2000000011</v>
      </c>
      <c r="G7" s="433">
        <v>8867330</v>
      </c>
      <c r="H7" s="409">
        <v>10274772.6</v>
      </c>
      <c r="I7" s="433">
        <f t="shared" si="2"/>
        <v>115.87222534855475</v>
      </c>
      <c r="J7" s="433">
        <f t="shared" si="3"/>
        <v>1407442.5999999996</v>
      </c>
      <c r="K7" s="279"/>
      <c r="L7" s="279"/>
      <c r="M7" s="279"/>
      <c r="N7" s="279"/>
      <c r="O7" s="279"/>
      <c r="P7" s="279"/>
      <c r="Q7" s="279"/>
      <c r="R7" s="279"/>
      <c r="S7" s="279"/>
    </row>
    <row r="8" spans="2:19" ht="16.5" customHeight="1">
      <c r="B8" s="432" t="s">
        <v>405</v>
      </c>
      <c r="C8" s="433">
        <v>80440</v>
      </c>
      <c r="D8" s="409">
        <v>114547.5</v>
      </c>
      <c r="E8" s="433">
        <f t="shared" si="0"/>
        <v>142.40116857284931</v>
      </c>
      <c r="F8" s="433">
        <f t="shared" si="1"/>
        <v>34107.5</v>
      </c>
      <c r="G8" s="433">
        <v>95825.2</v>
      </c>
      <c r="H8" s="409">
        <v>104465.8</v>
      </c>
      <c r="I8" s="433">
        <f t="shared" si="2"/>
        <v>109.01704353343379</v>
      </c>
      <c r="J8" s="433">
        <f t="shared" si="3"/>
        <v>8640.6000000000058</v>
      </c>
      <c r="K8" s="279"/>
      <c r="L8" s="279"/>
      <c r="M8" s="279"/>
      <c r="N8" s="279"/>
      <c r="O8" s="279"/>
      <c r="P8" s="279"/>
      <c r="Q8" s="279"/>
      <c r="R8" s="279"/>
      <c r="S8" s="279"/>
    </row>
    <row r="9" spans="2:19" ht="16.5" customHeight="1">
      <c r="B9" s="432" t="s">
        <v>406</v>
      </c>
      <c r="C9" s="433">
        <v>50357.8</v>
      </c>
      <c r="D9" s="409">
        <v>86646.1</v>
      </c>
      <c r="E9" s="433">
        <f t="shared" si="0"/>
        <v>172.06093197081685</v>
      </c>
      <c r="F9" s="433">
        <f t="shared" si="1"/>
        <v>36288.300000000003</v>
      </c>
      <c r="G9" s="433">
        <v>47683.4</v>
      </c>
      <c r="H9" s="409">
        <v>83902.9</v>
      </c>
      <c r="I9" s="433">
        <f t="shared" si="2"/>
        <v>175.95829995344289</v>
      </c>
      <c r="J9" s="433">
        <f t="shared" si="3"/>
        <v>36219.499999999993</v>
      </c>
      <c r="K9" s="279"/>
      <c r="L9" s="279"/>
      <c r="M9" s="279"/>
      <c r="N9" s="279"/>
      <c r="O9" s="279"/>
      <c r="P9" s="279"/>
      <c r="Q9" s="279"/>
      <c r="R9" s="279"/>
      <c r="S9" s="279"/>
    </row>
    <row r="10" spans="2:19" ht="16.5" customHeight="1">
      <c r="B10" s="434" t="s">
        <v>78</v>
      </c>
      <c r="C10" s="435">
        <v>298198.59999999998</v>
      </c>
      <c r="D10" s="401">
        <v>715480</v>
      </c>
      <c r="E10" s="326">
        <f t="shared" si="0"/>
        <v>239.93405736982001</v>
      </c>
      <c r="F10" s="433">
        <f t="shared" si="1"/>
        <v>417281.4</v>
      </c>
      <c r="G10" s="435">
        <v>298198.59999999998</v>
      </c>
      <c r="H10" s="401">
        <v>715480</v>
      </c>
      <c r="I10" s="326">
        <f t="shared" si="2"/>
        <v>239.93405736982001</v>
      </c>
      <c r="J10" s="435">
        <f t="shared" si="3"/>
        <v>417281.4</v>
      </c>
      <c r="K10" s="279"/>
      <c r="L10" s="279"/>
      <c r="M10" s="279"/>
      <c r="N10" s="279"/>
      <c r="O10" s="279"/>
      <c r="P10" s="279"/>
      <c r="Q10" s="279"/>
      <c r="R10" s="279"/>
      <c r="S10" s="279"/>
    </row>
    <row r="11" spans="2:19" ht="16.5" customHeight="1">
      <c r="B11" s="434" t="s">
        <v>83</v>
      </c>
      <c r="C11" s="435"/>
      <c r="D11" s="435"/>
      <c r="E11" s="433" t="e">
        <f t="shared" si="0"/>
        <v>#DIV/0!</v>
      </c>
      <c r="F11" s="433">
        <f t="shared" si="1"/>
        <v>0</v>
      </c>
      <c r="G11" s="435"/>
      <c r="H11" s="409"/>
      <c r="I11" s="435" t="e">
        <f t="shared" si="2"/>
        <v>#DIV/0!</v>
      </c>
      <c r="J11" s="435">
        <f t="shared" si="3"/>
        <v>0</v>
      </c>
      <c r="K11" s="279"/>
      <c r="L11" s="279"/>
      <c r="M11" s="279"/>
      <c r="N11" s="279"/>
      <c r="O11" s="279"/>
      <c r="P11" s="279" t="s">
        <v>752</v>
      </c>
      <c r="Q11" s="279"/>
      <c r="R11" s="279"/>
      <c r="S11" s="279"/>
    </row>
    <row r="12" spans="2:19" ht="16.5" customHeight="1">
      <c r="B12" s="434" t="s">
        <v>56</v>
      </c>
      <c r="C12" s="435">
        <v>58055.6</v>
      </c>
      <c r="D12" s="435">
        <v>50955.3</v>
      </c>
      <c r="E12" s="433">
        <f t="shared" si="0"/>
        <v>87.769827544629635</v>
      </c>
      <c r="F12" s="433">
        <f t="shared" si="1"/>
        <v>-7100.2999999999956</v>
      </c>
      <c r="G12" s="435">
        <v>57624</v>
      </c>
      <c r="H12" s="409">
        <v>50955.3</v>
      </c>
      <c r="I12" s="435">
        <f t="shared" si="2"/>
        <v>88.427217825905885</v>
      </c>
      <c r="J12" s="435">
        <f t="shared" si="3"/>
        <v>-6668.6999999999971</v>
      </c>
      <c r="K12" s="279"/>
      <c r="L12" s="279"/>
      <c r="M12" s="279"/>
      <c r="N12" s="279"/>
      <c r="O12" s="279"/>
      <c r="P12" s="279"/>
      <c r="Q12" s="279"/>
      <c r="R12" s="279"/>
      <c r="S12" s="279"/>
    </row>
    <row r="13" spans="2:19" ht="16.5" customHeight="1">
      <c r="B13" s="434" t="s">
        <v>47</v>
      </c>
      <c r="C13" s="435">
        <v>25760</v>
      </c>
      <c r="D13" s="435">
        <v>6720</v>
      </c>
      <c r="E13" s="433">
        <f t="shared" si="0"/>
        <v>26.086956521739129</v>
      </c>
      <c r="F13" s="433">
        <f t="shared" si="1"/>
        <v>-19040</v>
      </c>
      <c r="G13" s="435">
        <v>25760</v>
      </c>
      <c r="H13" s="409">
        <v>6720</v>
      </c>
      <c r="I13" s="433">
        <f t="shared" si="2"/>
        <v>26.086956521739129</v>
      </c>
      <c r="J13" s="435">
        <f t="shared" si="3"/>
        <v>-19040</v>
      </c>
      <c r="K13" s="279"/>
      <c r="L13" s="279"/>
      <c r="M13" s="279"/>
      <c r="N13" s="279"/>
      <c r="O13" s="279"/>
      <c r="P13" s="279"/>
      <c r="Q13" s="279"/>
      <c r="R13" s="279"/>
      <c r="S13" s="279"/>
    </row>
    <row r="14" spans="2:19" ht="16.5" customHeight="1">
      <c r="B14" s="434" t="s">
        <v>48</v>
      </c>
      <c r="C14" s="435">
        <v>140242.20000000001</v>
      </c>
      <c r="D14" s="435">
        <v>205806.2</v>
      </c>
      <c r="E14" s="433">
        <f t="shared" si="0"/>
        <v>146.75055011972145</v>
      </c>
      <c r="F14" s="433">
        <f t="shared" si="1"/>
        <v>65564</v>
      </c>
      <c r="G14" s="435">
        <v>145996</v>
      </c>
      <c r="H14" s="409">
        <v>224290.2</v>
      </c>
      <c r="I14" s="433">
        <f t="shared" si="2"/>
        <v>153.62763363379818</v>
      </c>
      <c r="J14" s="435">
        <f t="shared" si="3"/>
        <v>78294.200000000012</v>
      </c>
      <c r="K14" s="279"/>
      <c r="L14" s="279"/>
      <c r="M14" s="279"/>
      <c r="N14" s="279"/>
      <c r="O14" s="279"/>
      <c r="P14" s="279"/>
      <c r="Q14" s="279"/>
      <c r="R14" s="279"/>
      <c r="S14" s="279"/>
    </row>
    <row r="15" spans="2:19" ht="16.5" customHeight="1">
      <c r="B15" s="434" t="s">
        <v>49</v>
      </c>
      <c r="C15" s="435"/>
      <c r="D15" s="435"/>
      <c r="E15" s="326" t="e">
        <f t="shared" si="0"/>
        <v>#DIV/0!</v>
      </c>
      <c r="F15" s="433">
        <f t="shared" si="1"/>
        <v>0</v>
      </c>
      <c r="G15" s="435"/>
      <c r="H15" s="742"/>
      <c r="I15" s="326" t="e">
        <f t="shared" si="2"/>
        <v>#DIV/0!</v>
      </c>
      <c r="J15" s="435">
        <f t="shared" si="3"/>
        <v>0</v>
      </c>
      <c r="K15" s="279"/>
      <c r="L15" s="279"/>
      <c r="M15" s="279"/>
      <c r="N15" s="279"/>
      <c r="O15" s="279"/>
      <c r="P15" s="279"/>
      <c r="Q15" s="279"/>
      <c r="R15" s="279"/>
      <c r="S15" s="279"/>
    </row>
    <row r="16" spans="2:19" ht="16.5" customHeight="1">
      <c r="B16" s="436" t="s">
        <v>50</v>
      </c>
      <c r="C16" s="435">
        <v>103412.8</v>
      </c>
      <c r="D16" s="435">
        <v>135828</v>
      </c>
      <c r="E16" s="433">
        <f t="shared" si="0"/>
        <v>131.34544273049372</v>
      </c>
      <c r="F16" s="435">
        <f t="shared" si="1"/>
        <v>32415.199999999997</v>
      </c>
      <c r="G16" s="435">
        <v>103412.8</v>
      </c>
      <c r="H16" s="401">
        <v>135828</v>
      </c>
      <c r="I16" s="433">
        <f t="shared" si="2"/>
        <v>131.34544273049372</v>
      </c>
      <c r="J16" s="435">
        <f t="shared" si="3"/>
        <v>32415.199999999997</v>
      </c>
      <c r="K16" s="279"/>
      <c r="L16" s="279"/>
      <c r="M16" s="279"/>
      <c r="N16" s="279"/>
      <c r="O16" s="279"/>
      <c r="P16" s="279"/>
      <c r="Q16" s="279"/>
      <c r="R16" s="279"/>
      <c r="S16" s="279"/>
    </row>
    <row r="17" spans="2:19" ht="16.5" customHeight="1">
      <c r="B17" s="436" t="s">
        <v>51</v>
      </c>
      <c r="C17" s="435"/>
      <c r="D17" s="435">
        <v>8000</v>
      </c>
      <c r="E17" s="433" t="e">
        <f t="shared" si="0"/>
        <v>#DIV/0!</v>
      </c>
      <c r="F17" s="435">
        <f t="shared" si="1"/>
        <v>8000</v>
      </c>
      <c r="G17" s="435"/>
      <c r="H17" s="435">
        <v>8000</v>
      </c>
      <c r="I17" s="433" t="e">
        <f t="shared" si="2"/>
        <v>#DIV/0!</v>
      </c>
      <c r="J17" s="435">
        <f t="shared" si="3"/>
        <v>8000</v>
      </c>
      <c r="K17" s="279"/>
      <c r="L17" s="279"/>
      <c r="M17" s="279"/>
      <c r="N17" s="279"/>
      <c r="O17" s="279"/>
      <c r="P17" s="279"/>
      <c r="Q17" s="279"/>
      <c r="R17" s="279"/>
      <c r="S17" s="279"/>
    </row>
    <row r="18" spans="2:19" ht="16.5" customHeight="1">
      <c r="B18" s="436" t="s">
        <v>52</v>
      </c>
      <c r="C18" s="435"/>
      <c r="D18" s="435"/>
      <c r="E18" s="433" t="e">
        <f t="shared" si="0"/>
        <v>#DIV/0!</v>
      </c>
      <c r="F18" s="435">
        <f t="shared" si="1"/>
        <v>0</v>
      </c>
      <c r="G18" s="435"/>
      <c r="H18" s="435"/>
      <c r="I18" s="433" t="e">
        <f t="shared" si="2"/>
        <v>#DIV/0!</v>
      </c>
      <c r="J18" s="435">
        <f t="shared" si="3"/>
        <v>0</v>
      </c>
      <c r="K18" s="279"/>
      <c r="L18" s="279"/>
      <c r="M18" s="279"/>
      <c r="N18" s="279"/>
      <c r="O18" s="279"/>
      <c r="P18" s="279"/>
      <c r="Q18" s="279"/>
      <c r="R18" s="279"/>
      <c r="S18" s="279"/>
    </row>
    <row r="19" spans="2:19" ht="16.5" customHeight="1">
      <c r="B19" s="432" t="s">
        <v>562</v>
      </c>
      <c r="C19" s="433"/>
      <c r="D19" s="433"/>
      <c r="E19" s="326" t="e">
        <f t="shared" si="0"/>
        <v>#DIV/0!</v>
      </c>
      <c r="F19" s="433">
        <f t="shared" si="1"/>
        <v>0</v>
      </c>
      <c r="G19" s="433"/>
      <c r="H19" s="433"/>
      <c r="I19" s="326" t="e">
        <f t="shared" si="2"/>
        <v>#DIV/0!</v>
      </c>
      <c r="J19" s="433">
        <f t="shared" si="3"/>
        <v>0</v>
      </c>
      <c r="K19" s="279"/>
      <c r="L19" s="279"/>
      <c r="M19" s="279"/>
      <c r="N19" s="279"/>
      <c r="O19" s="279"/>
      <c r="P19" s="279"/>
      <c r="Q19" s="279"/>
      <c r="R19" s="279"/>
      <c r="S19" s="279"/>
    </row>
    <row r="20" spans="2:19" ht="16.5" customHeight="1">
      <c r="B20" s="437" t="s">
        <v>77</v>
      </c>
      <c r="C20" s="365">
        <v>40307.4</v>
      </c>
      <c r="D20" s="365">
        <v>38175.9</v>
      </c>
      <c r="E20" s="433">
        <f t="shared" si="0"/>
        <v>94.711889132020417</v>
      </c>
      <c r="F20" s="433">
        <f t="shared" si="1"/>
        <v>-2131.5</v>
      </c>
      <c r="G20" s="432">
        <v>38608.400000000001</v>
      </c>
      <c r="H20" s="432">
        <v>37291.5</v>
      </c>
      <c r="I20" s="433">
        <f t="shared" si="2"/>
        <v>96.589084240735161</v>
      </c>
      <c r="J20" s="433">
        <f t="shared" si="3"/>
        <v>-1316.9000000000015</v>
      </c>
      <c r="K20" s="279"/>
      <c r="L20" s="279"/>
      <c r="M20" s="279"/>
      <c r="N20" s="279"/>
      <c r="O20" s="279"/>
      <c r="P20" s="279"/>
      <c r="Q20" s="279"/>
      <c r="R20" s="279"/>
      <c r="S20" s="279"/>
    </row>
    <row r="21" spans="2:19" ht="20.100000000000001" customHeight="1">
      <c r="B21" s="371" t="s">
        <v>269</v>
      </c>
      <c r="C21" s="433">
        <f>SUM(C5:C20)</f>
        <v>15790257.800000001</v>
      </c>
      <c r="D21" s="433">
        <f>SUM(D5:D20)</f>
        <v>21113717.700000003</v>
      </c>
      <c r="E21" s="433">
        <f>+D21/C21*100</f>
        <v>133.71357179488231</v>
      </c>
      <c r="F21" s="433">
        <v>-413704.8</v>
      </c>
      <c r="G21" s="433">
        <f>SUM(G5:G20)</f>
        <v>15180401</v>
      </c>
      <c r="H21" s="433">
        <f>SUM(H5:H20)</f>
        <v>19188938.199999999</v>
      </c>
      <c r="I21" s="433">
        <f>+H21/G21*100</f>
        <v>126.40600337237468</v>
      </c>
      <c r="J21" s="433">
        <v>-1307244.8</v>
      </c>
      <c r="K21" s="279"/>
      <c r="L21" s="279"/>
      <c r="M21" s="279"/>
      <c r="N21" s="279"/>
      <c r="O21" s="279"/>
      <c r="P21" s="279"/>
      <c r="Q21" s="279"/>
      <c r="R21" s="279"/>
      <c r="S21" s="279"/>
    </row>
    <row r="22" spans="2:19" ht="19.5" customHeight="1">
      <c r="B22" s="1986" t="s">
        <v>753</v>
      </c>
      <c r="C22" s="1986"/>
      <c r="D22" s="1986"/>
      <c r="E22" s="1986"/>
      <c r="F22" s="1986"/>
      <c r="G22" s="1986"/>
      <c r="H22" s="1986"/>
      <c r="I22" s="1986"/>
      <c r="J22" s="1986"/>
      <c r="K22" s="279"/>
      <c r="L22" s="279"/>
      <c r="M22" s="279"/>
      <c r="N22" s="279"/>
      <c r="O22" s="279"/>
      <c r="P22" s="279"/>
      <c r="Q22" s="279"/>
      <c r="R22" s="279"/>
      <c r="S22" s="279"/>
    </row>
    <row r="23" spans="2:19" ht="12" customHeight="1">
      <c r="B23" s="1550" t="s">
        <v>754</v>
      </c>
      <c r="C23" s="1500" t="s">
        <v>393</v>
      </c>
      <c r="D23" s="1500"/>
      <c r="E23" s="1983" t="s">
        <v>1213</v>
      </c>
      <c r="F23" s="1985" t="s">
        <v>755</v>
      </c>
      <c r="G23" s="1500" t="s">
        <v>387</v>
      </c>
      <c r="H23" s="1500"/>
      <c r="I23" s="1983" t="s">
        <v>1213</v>
      </c>
      <c r="J23" s="1985" t="s">
        <v>755</v>
      </c>
    </row>
    <row r="24" spans="2:19" ht="3.75" customHeight="1">
      <c r="B24" s="1551"/>
      <c r="C24" s="1500"/>
      <c r="D24" s="1500"/>
      <c r="E24" s="1984"/>
      <c r="F24" s="1500"/>
      <c r="G24" s="1500"/>
      <c r="H24" s="1500"/>
      <c r="I24" s="1984"/>
      <c r="J24" s="1500"/>
    </row>
    <row r="25" spans="2:19" ht="15.75" customHeight="1">
      <c r="B25" s="1552"/>
      <c r="C25" s="282">
        <v>2011</v>
      </c>
      <c r="D25" s="282">
        <v>2012</v>
      </c>
      <c r="E25" s="1984"/>
      <c r="F25" s="1500"/>
      <c r="G25" s="282">
        <v>2011</v>
      </c>
      <c r="H25" s="282">
        <v>2012</v>
      </c>
      <c r="I25" s="1984"/>
      <c r="J25" s="1500"/>
    </row>
    <row r="26" spans="2:19">
      <c r="B26" s="365" t="s">
        <v>400</v>
      </c>
      <c r="C26" s="375">
        <f>C5</f>
        <v>3130845.2</v>
      </c>
      <c r="D26" s="375">
        <f>D5</f>
        <v>3987510.1</v>
      </c>
      <c r="E26" s="375">
        <f>+D26/C26*100</f>
        <v>127.36209698262948</v>
      </c>
      <c r="F26" s="375">
        <f>+D26-C26</f>
        <v>856664.89999999991</v>
      </c>
      <c r="G26" s="375">
        <f>G5</f>
        <v>3130845.2</v>
      </c>
      <c r="H26" s="375">
        <f>H5</f>
        <v>3987510.1</v>
      </c>
      <c r="I26" s="375">
        <f>+H26/G26*100</f>
        <v>127.36209698262948</v>
      </c>
      <c r="J26" s="375">
        <f>+H26-G26</f>
        <v>856664.89999999991</v>
      </c>
    </row>
    <row r="27" spans="2:19">
      <c r="B27" s="365" t="s">
        <v>401</v>
      </c>
      <c r="C27" s="375">
        <f>C6+C8+C9+C10+C11+C13+C14+C15+C16+C17+C20</f>
        <v>3061398.9</v>
      </c>
      <c r="D27" s="375">
        <f>D6+D8+D9+D10+D11+D13+D14+D15+D16+D17+D20</f>
        <v>5168130.0000000009</v>
      </c>
      <c r="E27" s="375">
        <f>+D27/C27*100</f>
        <v>168.81596187938791</v>
      </c>
      <c r="F27" s="375">
        <f>+D27-C27</f>
        <v>2106731.100000001</v>
      </c>
      <c r="G27" s="375">
        <f>G6+G8+G9+G10+G11+G13+G14+G15+G16+G17+G20</f>
        <v>3124601.8</v>
      </c>
      <c r="H27" s="375">
        <f>H6+H8+H9+H10+H11+H13+H14+H15+H16+H17+H20</f>
        <v>4875700.2</v>
      </c>
      <c r="I27" s="375">
        <f>+H27/G27*100</f>
        <v>156.0422899327524</v>
      </c>
      <c r="J27" s="375">
        <f>+H27-G27</f>
        <v>1751098.4000000004</v>
      </c>
    </row>
    <row r="28" spans="2:19">
      <c r="B28" s="365" t="s">
        <v>402</v>
      </c>
      <c r="C28" s="375">
        <f>C7+C19</f>
        <v>9539958.0999999996</v>
      </c>
      <c r="D28" s="375">
        <f>D7+D19</f>
        <v>11907122.300000001</v>
      </c>
      <c r="E28" s="375">
        <f>+D28/C28*100</f>
        <v>124.81315090891229</v>
      </c>
      <c r="F28" s="375">
        <f>+D28-C28</f>
        <v>2367164.2000000011</v>
      </c>
      <c r="G28" s="375">
        <f>G7+G19</f>
        <v>8867330</v>
      </c>
      <c r="H28" s="375">
        <f>H7+H19</f>
        <v>10274772.6</v>
      </c>
      <c r="I28" s="375">
        <f>+H28/G28*100</f>
        <v>115.87222534855475</v>
      </c>
      <c r="J28" s="375">
        <f>+H28-G28</f>
        <v>1407442.5999999996</v>
      </c>
    </row>
    <row r="29" spans="2:19">
      <c r="B29" s="365" t="s">
        <v>144</v>
      </c>
      <c r="C29" s="375">
        <f>C12+C18</f>
        <v>58055.6</v>
      </c>
      <c r="D29" s="375">
        <f>D12+D18</f>
        <v>50955.3</v>
      </c>
      <c r="E29" s="375">
        <f>+D29/C29*100</f>
        <v>87.769827544629635</v>
      </c>
      <c r="F29" s="375">
        <f>+D29-C29</f>
        <v>-7100.2999999999956</v>
      </c>
      <c r="G29" s="375">
        <f>G12+G18</f>
        <v>57624</v>
      </c>
      <c r="H29" s="375">
        <f>H12+H18</f>
        <v>50955.3</v>
      </c>
      <c r="I29" s="375">
        <f>+H29/G29*100</f>
        <v>88.427217825905885</v>
      </c>
      <c r="J29" s="375">
        <f>+H29-G29</f>
        <v>-6668.6999999999971</v>
      </c>
    </row>
    <row r="30" spans="2:19">
      <c r="B30" s="282" t="s">
        <v>269</v>
      </c>
      <c r="C30" s="375">
        <f>SUM(C26:C29)</f>
        <v>15790257.799999999</v>
      </c>
      <c r="D30" s="375">
        <f>SUM(D26:D29)</f>
        <v>21113717.700000003</v>
      </c>
      <c r="E30" s="375">
        <f>+D30/C30*100</f>
        <v>133.71357179488231</v>
      </c>
      <c r="F30" s="375">
        <f>SUM(F26:F29)</f>
        <v>5323459.9000000022</v>
      </c>
      <c r="G30" s="375">
        <f>SUM(G26:G29)</f>
        <v>15180401</v>
      </c>
      <c r="H30" s="375">
        <f>SUM(H26:H29)</f>
        <v>19188938.199999999</v>
      </c>
      <c r="I30" s="375">
        <f>+H30/G30*100</f>
        <v>126.40600337237468</v>
      </c>
      <c r="J30" s="375">
        <f>+H30-G30</f>
        <v>4008537.1999999993</v>
      </c>
    </row>
    <row r="31" spans="2:19">
      <c r="D31" s="438"/>
      <c r="E31" s="438"/>
      <c r="H31" s="439"/>
    </row>
    <row r="32" spans="2:19">
      <c r="D32" s="438"/>
      <c r="E32" s="438"/>
      <c r="H32" s="439"/>
    </row>
    <row r="33" spans="2:10">
      <c r="B33" s="1539">
        <v>75</v>
      </c>
      <c r="C33" s="1539"/>
      <c r="D33" s="1539"/>
      <c r="E33" s="1539"/>
      <c r="F33" s="1539"/>
      <c r="G33" s="1539"/>
      <c r="H33" s="1539"/>
      <c r="I33" s="1539"/>
      <c r="J33" s="1539"/>
    </row>
    <row r="34" spans="2:10">
      <c r="D34" s="438"/>
      <c r="E34" s="438"/>
      <c r="H34" s="439"/>
    </row>
    <row r="35" spans="2:10">
      <c r="D35" s="438"/>
      <c r="E35" s="438"/>
      <c r="H35" s="439"/>
    </row>
    <row r="36" spans="2:10">
      <c r="D36" s="438"/>
      <c r="E36" s="438"/>
      <c r="H36" s="439"/>
    </row>
    <row r="37" spans="2:10">
      <c r="D37" s="438"/>
      <c r="E37" s="438"/>
      <c r="H37" s="439"/>
    </row>
    <row r="38" spans="2:10">
      <c r="D38" s="438"/>
      <c r="E38" s="438"/>
      <c r="H38" s="439"/>
    </row>
    <row r="39" spans="2:10">
      <c r="D39" s="438"/>
      <c r="E39" s="438"/>
      <c r="H39" s="439"/>
    </row>
    <row r="40" spans="2:10">
      <c r="D40" s="438"/>
      <c r="E40" s="438"/>
      <c r="H40" s="439"/>
    </row>
    <row r="41" spans="2:10">
      <c r="D41" s="438"/>
      <c r="E41" s="438"/>
      <c r="H41" s="439"/>
    </row>
    <row r="42" spans="2:10">
      <c r="D42" s="438"/>
      <c r="E42" s="438"/>
      <c r="H42" s="439"/>
    </row>
    <row r="43" spans="2:10">
      <c r="D43" s="438"/>
      <c r="E43" s="438"/>
      <c r="H43" s="439"/>
    </row>
    <row r="44" spans="2:10">
      <c r="D44" s="438"/>
      <c r="E44" s="438"/>
      <c r="H44" s="439"/>
    </row>
    <row r="45" spans="2:10">
      <c r="D45" s="438"/>
      <c r="E45" s="438"/>
      <c r="H45" s="439"/>
    </row>
    <row r="46" spans="2:10">
      <c r="D46" s="438"/>
      <c r="E46" s="438"/>
      <c r="H46" s="439"/>
    </row>
    <row r="47" spans="2:10">
      <c r="D47" s="438"/>
      <c r="E47" s="438"/>
      <c r="H47" s="439"/>
    </row>
    <row r="48" spans="2:10">
      <c r="D48" s="438"/>
      <c r="E48" s="438"/>
      <c r="H48" s="439"/>
    </row>
    <row r="49" spans="4:8">
      <c r="D49" s="438"/>
      <c r="E49" s="438"/>
      <c r="H49" s="439"/>
    </row>
    <row r="50" spans="4:8">
      <c r="D50" s="438"/>
      <c r="E50" s="438"/>
      <c r="H50" s="439"/>
    </row>
    <row r="51" spans="4:8">
      <c r="D51" s="438"/>
      <c r="E51" s="438"/>
      <c r="H51" s="439"/>
    </row>
    <row r="52" spans="4:8">
      <c r="D52" s="438"/>
      <c r="E52" s="438"/>
      <c r="H52" s="439"/>
    </row>
    <row r="53" spans="4:8">
      <c r="D53" s="438"/>
      <c r="E53" s="438"/>
      <c r="H53" s="439"/>
    </row>
    <row r="54" spans="4:8">
      <c r="D54" s="438"/>
      <c r="E54" s="438"/>
      <c r="H54" s="439"/>
    </row>
    <row r="55" spans="4:8">
      <c r="D55" s="438"/>
      <c r="E55" s="438"/>
      <c r="H55" s="439"/>
    </row>
    <row r="56" spans="4:8">
      <c r="D56" s="438"/>
      <c r="E56" s="438"/>
      <c r="H56" s="439"/>
    </row>
    <row r="57" spans="4:8">
      <c r="D57" s="438"/>
      <c r="E57" s="438"/>
      <c r="H57" s="439"/>
    </row>
    <row r="58" spans="4:8">
      <c r="D58" s="438"/>
      <c r="E58" s="438"/>
      <c r="H58" s="439"/>
    </row>
    <row r="59" spans="4:8">
      <c r="D59" s="438"/>
      <c r="E59" s="438"/>
      <c r="H59" s="439"/>
    </row>
    <row r="60" spans="4:8">
      <c r="D60" s="438"/>
      <c r="E60" s="438"/>
      <c r="H60" s="439"/>
    </row>
    <row r="61" spans="4:8">
      <c r="D61" s="438"/>
      <c r="E61" s="438"/>
      <c r="H61" s="439"/>
    </row>
    <row r="62" spans="4:8">
      <c r="D62" s="438"/>
      <c r="E62" s="438"/>
      <c r="H62" s="439"/>
    </row>
    <row r="63" spans="4:8">
      <c r="D63" s="438"/>
      <c r="E63" s="438"/>
      <c r="H63" s="439"/>
    </row>
    <row r="64" spans="4:8">
      <c r="D64" s="438"/>
      <c r="E64" s="438"/>
      <c r="H64" s="439"/>
    </row>
    <row r="65" spans="4:8">
      <c r="D65" s="438"/>
      <c r="E65" s="438"/>
      <c r="H65" s="439"/>
    </row>
    <row r="66" spans="4:8">
      <c r="D66" s="438"/>
      <c r="E66" s="438"/>
      <c r="H66" s="439"/>
    </row>
    <row r="67" spans="4:8">
      <c r="D67" s="438"/>
      <c r="E67" s="438"/>
      <c r="H67" s="439"/>
    </row>
    <row r="68" spans="4:8">
      <c r="D68" s="438"/>
      <c r="E68" s="438"/>
      <c r="H68" s="439"/>
    </row>
    <row r="69" spans="4:8">
      <c r="D69" s="438"/>
      <c r="E69" s="438"/>
      <c r="H69" s="439"/>
    </row>
    <row r="70" spans="4:8">
      <c r="D70" s="438"/>
      <c r="E70" s="438"/>
      <c r="H70" s="439"/>
    </row>
    <row r="71" spans="4:8">
      <c r="D71" s="438"/>
      <c r="E71" s="438"/>
      <c r="H71" s="439"/>
    </row>
    <row r="72" spans="4:8">
      <c r="D72" s="438"/>
      <c r="E72" s="438"/>
      <c r="H72" s="439"/>
    </row>
    <row r="73" spans="4:8">
      <c r="D73" s="438"/>
      <c r="E73" s="438"/>
      <c r="H73" s="439"/>
    </row>
    <row r="74" spans="4:8">
      <c r="D74" s="438"/>
      <c r="E74" s="438"/>
      <c r="H74" s="439"/>
    </row>
    <row r="75" spans="4:8">
      <c r="D75" s="438"/>
      <c r="E75" s="438"/>
      <c r="H75" s="439"/>
    </row>
    <row r="76" spans="4:8">
      <c r="D76" s="438"/>
      <c r="E76" s="438"/>
      <c r="H76" s="439"/>
    </row>
    <row r="77" spans="4:8">
      <c r="D77" s="438"/>
      <c r="E77" s="438"/>
      <c r="H77" s="439"/>
    </row>
    <row r="78" spans="4:8">
      <c r="D78" s="438"/>
      <c r="E78" s="438"/>
      <c r="H78" s="439"/>
    </row>
    <row r="79" spans="4:8">
      <c r="D79" s="438"/>
      <c r="E79" s="438"/>
      <c r="H79" s="439"/>
    </row>
    <row r="80" spans="4:8">
      <c r="D80" s="438"/>
      <c r="E80" s="438"/>
      <c r="H80" s="439"/>
    </row>
    <row r="81" spans="4:8">
      <c r="D81" s="438"/>
      <c r="E81" s="438"/>
      <c r="H81" s="439"/>
    </row>
    <row r="82" spans="4:8">
      <c r="D82" s="438"/>
      <c r="E82" s="438"/>
      <c r="H82" s="439"/>
    </row>
    <row r="83" spans="4:8">
      <c r="D83" s="438"/>
      <c r="E83" s="438"/>
      <c r="H83" s="439"/>
    </row>
    <row r="84" spans="4:8">
      <c r="D84" s="438"/>
      <c r="E84" s="438"/>
      <c r="H84" s="439"/>
    </row>
    <row r="85" spans="4:8">
      <c r="D85" s="438"/>
      <c r="E85" s="438"/>
      <c r="H85" s="439"/>
    </row>
    <row r="86" spans="4:8">
      <c r="D86" s="438"/>
      <c r="E86" s="438"/>
      <c r="H86" s="439"/>
    </row>
    <row r="87" spans="4:8">
      <c r="D87" s="438"/>
      <c r="E87" s="438"/>
      <c r="H87" s="439"/>
    </row>
    <row r="88" spans="4:8">
      <c r="D88" s="438"/>
      <c r="E88" s="438"/>
      <c r="H88" s="439"/>
    </row>
    <row r="89" spans="4:8">
      <c r="D89" s="438"/>
      <c r="E89" s="438"/>
      <c r="H89" s="439"/>
    </row>
    <row r="90" spans="4:8">
      <c r="D90" s="438"/>
      <c r="E90" s="438"/>
      <c r="H90" s="439"/>
    </row>
    <row r="91" spans="4:8">
      <c r="D91" s="438"/>
      <c r="E91" s="438"/>
      <c r="H91" s="439"/>
    </row>
    <row r="92" spans="4:8">
      <c r="D92" s="438"/>
      <c r="E92" s="438"/>
      <c r="H92" s="439"/>
    </row>
    <row r="93" spans="4:8">
      <c r="D93" s="438"/>
      <c r="E93" s="438"/>
      <c r="H93" s="439"/>
    </row>
    <row r="94" spans="4:8">
      <c r="D94" s="438"/>
      <c r="E94" s="438"/>
      <c r="H94" s="439"/>
    </row>
    <row r="95" spans="4:8">
      <c r="D95" s="438"/>
      <c r="E95" s="438"/>
      <c r="H95" s="439"/>
    </row>
    <row r="96" spans="4:8">
      <c r="D96" s="438"/>
      <c r="E96" s="438"/>
      <c r="H96" s="439"/>
    </row>
    <row r="97" spans="4:8">
      <c r="D97" s="438"/>
      <c r="E97" s="438"/>
      <c r="H97" s="439"/>
    </row>
    <row r="98" spans="4:8">
      <c r="D98" s="438"/>
      <c r="E98" s="438"/>
      <c r="H98" s="439"/>
    </row>
    <row r="99" spans="4:8">
      <c r="D99" s="438"/>
      <c r="E99" s="438"/>
      <c r="H99" s="439"/>
    </row>
    <row r="100" spans="4:8">
      <c r="D100" s="438"/>
      <c r="E100" s="438"/>
      <c r="H100" s="439"/>
    </row>
    <row r="101" spans="4:8">
      <c r="D101" s="438"/>
      <c r="E101" s="438"/>
      <c r="H101" s="439"/>
    </row>
    <row r="102" spans="4:8">
      <c r="D102" s="438"/>
      <c r="E102" s="438"/>
      <c r="H102" s="439"/>
    </row>
    <row r="103" spans="4:8">
      <c r="D103" s="438"/>
      <c r="E103" s="438"/>
      <c r="H103" s="439"/>
    </row>
    <row r="104" spans="4:8">
      <c r="D104" s="438"/>
      <c r="E104" s="438"/>
      <c r="H104" s="439"/>
    </row>
    <row r="105" spans="4:8">
      <c r="D105" s="438"/>
      <c r="E105" s="438"/>
      <c r="H105" s="439"/>
    </row>
    <row r="106" spans="4:8">
      <c r="D106" s="438"/>
      <c r="H106" s="439"/>
    </row>
    <row r="107" spans="4:8">
      <c r="D107" s="438"/>
      <c r="H107" s="439"/>
    </row>
    <row r="108" spans="4:8">
      <c r="D108" s="438"/>
      <c r="H108" s="439"/>
    </row>
    <row r="109" spans="4:8">
      <c r="D109" s="438"/>
      <c r="H109" s="439"/>
    </row>
    <row r="110" spans="4:8">
      <c r="D110" s="438"/>
      <c r="H110" s="439"/>
    </row>
    <row r="111" spans="4:8">
      <c r="D111" s="438"/>
      <c r="H111" s="439"/>
    </row>
    <row r="112" spans="4:8">
      <c r="H112" s="439"/>
    </row>
    <row r="113" spans="8:8">
      <c r="H113" s="439"/>
    </row>
    <row r="114" spans="8:8">
      <c r="H114" s="439"/>
    </row>
    <row r="115" spans="8:8">
      <c r="H115" s="439"/>
    </row>
    <row r="116" spans="8:8">
      <c r="H116" s="439"/>
    </row>
    <row r="117" spans="8:8">
      <c r="H117" s="439"/>
    </row>
    <row r="118" spans="8:8">
      <c r="H118" s="439"/>
    </row>
    <row r="119" spans="8:8">
      <c r="H119" s="439"/>
    </row>
    <row r="120" spans="8:8">
      <c r="H120" s="439"/>
    </row>
    <row r="121" spans="8:8">
      <c r="H121" s="439"/>
    </row>
    <row r="122" spans="8:8">
      <c r="H122" s="439"/>
    </row>
    <row r="123" spans="8:8">
      <c r="H123" s="439"/>
    </row>
    <row r="124" spans="8:8">
      <c r="H124" s="439"/>
    </row>
    <row r="125" spans="8:8">
      <c r="H125" s="439"/>
    </row>
    <row r="126" spans="8:8">
      <c r="H126" s="439"/>
    </row>
    <row r="127" spans="8:8">
      <c r="H127" s="439"/>
    </row>
    <row r="128" spans="8:8">
      <c r="H128" s="439"/>
    </row>
    <row r="129" spans="8:8">
      <c r="H129" s="439"/>
    </row>
    <row r="130" spans="8:8">
      <c r="H130" s="439"/>
    </row>
    <row r="131" spans="8:8">
      <c r="H131" s="439"/>
    </row>
    <row r="132" spans="8:8">
      <c r="H132" s="439"/>
    </row>
    <row r="133" spans="8:8">
      <c r="H133" s="439"/>
    </row>
    <row r="134" spans="8:8">
      <c r="H134" s="439"/>
    </row>
    <row r="135" spans="8:8">
      <c r="H135" s="439"/>
    </row>
    <row r="136" spans="8:8">
      <c r="H136" s="439"/>
    </row>
    <row r="137" spans="8:8">
      <c r="H137" s="439"/>
    </row>
    <row r="138" spans="8:8">
      <c r="H138" s="439"/>
    </row>
    <row r="139" spans="8:8">
      <c r="H139" s="439"/>
    </row>
    <row r="140" spans="8:8">
      <c r="H140" s="439"/>
    </row>
    <row r="141" spans="8:8">
      <c r="H141" s="439"/>
    </row>
    <row r="142" spans="8:8">
      <c r="H142" s="439"/>
    </row>
    <row r="143" spans="8:8">
      <c r="H143" s="439"/>
    </row>
    <row r="144" spans="8:8">
      <c r="H144" s="439"/>
    </row>
    <row r="145" spans="8:8">
      <c r="H145" s="439"/>
    </row>
    <row r="146" spans="8:8">
      <c r="H146" s="439"/>
    </row>
    <row r="147" spans="8:8">
      <c r="H147" s="439"/>
    </row>
    <row r="148" spans="8:8">
      <c r="H148" s="439"/>
    </row>
    <row r="149" spans="8:8">
      <c r="H149" s="439"/>
    </row>
    <row r="150" spans="8:8">
      <c r="H150" s="439"/>
    </row>
    <row r="151" spans="8:8">
      <c r="H151" s="439"/>
    </row>
    <row r="152" spans="8:8">
      <c r="H152" s="439"/>
    </row>
    <row r="153" spans="8:8">
      <c r="H153" s="439"/>
    </row>
    <row r="154" spans="8:8">
      <c r="H154" s="439"/>
    </row>
    <row r="155" spans="8:8">
      <c r="H155" s="439"/>
    </row>
    <row r="156" spans="8:8">
      <c r="H156" s="439"/>
    </row>
  </sheetData>
  <mergeCells count="13">
    <mergeCell ref="B33:J33"/>
    <mergeCell ref="I23:I25"/>
    <mergeCell ref="J23:J25"/>
    <mergeCell ref="C1:I1"/>
    <mergeCell ref="B3:B4"/>
    <mergeCell ref="C3:D3"/>
    <mergeCell ref="B22:J22"/>
    <mergeCell ref="B23:B25"/>
    <mergeCell ref="C23:D24"/>
    <mergeCell ref="E23:E25"/>
    <mergeCell ref="H2:J2"/>
    <mergeCell ref="F23:F25"/>
    <mergeCell ref="G23:H24"/>
  </mergeCells>
  <pageMargins left="0.7" right="0.7" top="0.75" bottom="0.7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30"/>
  <sheetViews>
    <sheetView workbookViewId="0">
      <selection activeCell="J20" sqref="J20"/>
    </sheetView>
  </sheetViews>
  <sheetFormatPr defaultRowHeight="18" customHeight="1"/>
  <cols>
    <col min="1" max="1" width="26.85546875" style="376" customWidth="1"/>
    <col min="2" max="2" width="17" style="376" customWidth="1"/>
    <col min="3" max="3" width="17.140625" style="376" customWidth="1"/>
    <col min="4" max="4" width="16" style="376" customWidth="1"/>
    <col min="5" max="5" width="15" style="376" customWidth="1"/>
    <col min="6" max="6" width="15.28515625" style="376" customWidth="1"/>
    <col min="7" max="7" width="14.140625" style="376" customWidth="1"/>
    <col min="8" max="8" width="9.140625" style="376" customWidth="1"/>
    <col min="9" max="9" width="20.7109375" style="376" customWidth="1"/>
    <col min="10" max="11" width="11.28515625" style="376" customWidth="1"/>
    <col min="12" max="14" width="9.140625" style="376" customWidth="1"/>
    <col min="15" max="15" width="11.7109375" style="376" customWidth="1"/>
    <col min="16" max="16384" width="9.140625" style="376"/>
  </cols>
  <sheetData>
    <row r="1" spans="1:16" ht="18" customHeight="1">
      <c r="A1" s="1512" t="s">
        <v>151</v>
      </c>
      <c r="B1" s="1512"/>
      <c r="C1" s="1512"/>
      <c r="D1" s="1512"/>
      <c r="E1" s="1512"/>
      <c r="F1" s="1512"/>
      <c r="G1" s="1512"/>
    </row>
    <row r="2" spans="1:16" ht="20.100000000000001" customHeight="1">
      <c r="A2" s="1988" t="s">
        <v>1225</v>
      </c>
      <c r="B2" s="1988"/>
      <c r="C2" s="1988"/>
      <c r="D2" s="1988"/>
      <c r="E2" s="1988"/>
      <c r="F2" s="1988"/>
      <c r="G2" s="1988"/>
      <c r="I2" s="279"/>
      <c r="J2" s="279"/>
      <c r="K2" s="279"/>
      <c r="L2" s="279"/>
      <c r="M2" s="279"/>
      <c r="N2" s="279"/>
      <c r="O2" s="279"/>
      <c r="P2" s="279"/>
    </row>
    <row r="3" spans="1:16" ht="20.100000000000001" customHeight="1">
      <c r="A3" s="1989"/>
      <c r="B3" s="419" t="s">
        <v>370</v>
      </c>
      <c r="C3" s="419" t="s">
        <v>298</v>
      </c>
      <c r="D3" s="420" t="s">
        <v>175</v>
      </c>
      <c r="E3" s="421"/>
      <c r="F3" s="1991" t="s">
        <v>1221</v>
      </c>
      <c r="G3" s="253" t="s">
        <v>388</v>
      </c>
      <c r="I3" s="279"/>
      <c r="J3" s="279"/>
      <c r="K3" s="279"/>
      <c r="L3" s="279"/>
      <c r="M3" s="279"/>
      <c r="N3" s="279"/>
      <c r="O3" s="279"/>
      <c r="P3" s="279"/>
    </row>
    <row r="4" spans="1:16" ht="15" customHeight="1">
      <c r="A4" s="1990"/>
      <c r="B4" s="422" t="s">
        <v>371</v>
      </c>
      <c r="C4" s="422" t="s">
        <v>299</v>
      </c>
      <c r="D4" s="440">
        <v>2011</v>
      </c>
      <c r="E4" s="440">
        <v>2012</v>
      </c>
      <c r="F4" s="1992"/>
      <c r="G4" s="256" t="s">
        <v>389</v>
      </c>
      <c r="H4" s="441"/>
      <c r="I4" s="279"/>
      <c r="J4" s="279"/>
      <c r="K4" s="279"/>
      <c r="L4" s="279"/>
      <c r="M4" s="279"/>
      <c r="N4" s="279"/>
      <c r="O4" s="279"/>
      <c r="P4" s="279"/>
    </row>
    <row r="5" spans="1:16" ht="15" customHeight="1">
      <c r="A5" s="1993" t="s">
        <v>372</v>
      </c>
      <c r="B5" s="442" t="s">
        <v>373</v>
      </c>
      <c r="C5" s="406" t="s">
        <v>374</v>
      </c>
      <c r="D5" s="542">
        <v>353.1</v>
      </c>
      <c r="E5" s="542">
        <v>401.4</v>
      </c>
      <c r="F5" s="542">
        <f>(E5/D5)*100</f>
        <v>113.67884451996599</v>
      </c>
      <c r="G5" s="543">
        <f t="shared" ref="G5:G27" si="0">+E5-D5</f>
        <v>48.299999999999955</v>
      </c>
      <c r="H5" s="441"/>
      <c r="I5" s="279"/>
      <c r="J5" s="279"/>
      <c r="K5" s="279"/>
      <c r="L5" s="279"/>
      <c r="M5" s="279"/>
      <c r="N5" s="279"/>
      <c r="O5" s="279"/>
      <c r="P5" s="279"/>
    </row>
    <row r="6" spans="1:16" ht="15" customHeight="1">
      <c r="A6" s="1994"/>
      <c r="B6" s="442" t="s">
        <v>375</v>
      </c>
      <c r="C6" s="406" t="s">
        <v>376</v>
      </c>
      <c r="D6" s="542">
        <v>1106.7</v>
      </c>
      <c r="E6" s="542">
        <v>673.4</v>
      </c>
      <c r="F6" s="542">
        <f>(E6/D6)*100</f>
        <v>60.847564832384563</v>
      </c>
      <c r="G6" s="543">
        <f t="shared" si="0"/>
        <v>-433.30000000000007</v>
      </c>
      <c r="H6" s="441"/>
      <c r="I6" s="279"/>
      <c r="J6" s="279"/>
      <c r="K6" s="279"/>
      <c r="L6" s="279"/>
      <c r="M6" s="279"/>
      <c r="N6" s="279"/>
      <c r="O6" s="279"/>
      <c r="P6" s="279"/>
    </row>
    <row r="7" spans="1:16" ht="15" customHeight="1">
      <c r="A7" s="1993" t="s">
        <v>377</v>
      </c>
      <c r="B7" s="423" t="s">
        <v>378</v>
      </c>
      <c r="C7" s="406" t="s">
        <v>374</v>
      </c>
      <c r="D7" s="542">
        <v>2487.3000000000002</v>
      </c>
      <c r="E7" s="542">
        <v>4853</v>
      </c>
      <c r="F7" s="542">
        <f t="shared" ref="F7:F22" si="1">(E7/D7)*100</f>
        <v>195.11116471676112</v>
      </c>
      <c r="G7" s="543">
        <f t="shared" si="0"/>
        <v>2365.6999999999998</v>
      </c>
      <c r="H7" s="441"/>
      <c r="I7" s="279"/>
      <c r="J7" s="279"/>
      <c r="K7" s="279"/>
      <c r="L7" s="279"/>
      <c r="M7" s="279"/>
      <c r="N7" s="279"/>
      <c r="O7" s="279"/>
      <c r="P7" s="279"/>
    </row>
    <row r="8" spans="1:16" ht="15" customHeight="1">
      <c r="A8" s="1994"/>
      <c r="B8" s="423" t="s">
        <v>85</v>
      </c>
      <c r="C8" s="406" t="s">
        <v>374</v>
      </c>
      <c r="D8" s="542">
        <v>981</v>
      </c>
      <c r="E8" s="542">
        <v>925.5</v>
      </c>
      <c r="F8" s="542">
        <f t="shared" si="1"/>
        <v>94.342507645259943</v>
      </c>
      <c r="G8" s="543">
        <f t="shared" si="0"/>
        <v>-55.5</v>
      </c>
      <c r="H8" s="441"/>
      <c r="I8" s="279"/>
      <c r="J8" s="279"/>
      <c r="K8" s="279"/>
      <c r="L8" s="279"/>
      <c r="M8" s="279"/>
      <c r="N8" s="279"/>
      <c r="O8" s="279"/>
      <c r="P8" s="279"/>
    </row>
    <row r="9" spans="1:16" ht="15" customHeight="1">
      <c r="A9" s="1995"/>
      <c r="B9" s="423" t="s">
        <v>379</v>
      </c>
      <c r="C9" s="406" t="s">
        <v>374</v>
      </c>
      <c r="D9" s="542">
        <v>771</v>
      </c>
      <c r="E9" s="542">
        <v>1688.4</v>
      </c>
      <c r="F9" s="542">
        <f t="shared" si="1"/>
        <v>218.98832684824905</v>
      </c>
      <c r="G9" s="543">
        <f t="shared" si="0"/>
        <v>917.40000000000009</v>
      </c>
      <c r="H9" s="441"/>
      <c r="I9" s="279"/>
      <c r="J9" s="279"/>
      <c r="K9" s="279"/>
      <c r="L9" s="279"/>
      <c r="M9" s="279"/>
      <c r="N9" s="279"/>
      <c r="O9" s="279"/>
      <c r="P9" s="279"/>
    </row>
    <row r="10" spans="1:16" ht="15" customHeight="1">
      <c r="A10" s="1993" t="s">
        <v>380</v>
      </c>
      <c r="B10" s="423" t="s">
        <v>381</v>
      </c>
      <c r="C10" s="425" t="s">
        <v>383</v>
      </c>
      <c r="D10" s="542">
        <v>94458.5</v>
      </c>
      <c r="E10" s="542">
        <v>112518.2</v>
      </c>
      <c r="F10" s="542">
        <f t="shared" si="1"/>
        <v>119.11918990879593</v>
      </c>
      <c r="G10" s="543">
        <f t="shared" si="0"/>
        <v>18059.699999999997</v>
      </c>
      <c r="H10" s="441"/>
      <c r="I10" s="279"/>
      <c r="J10" s="279"/>
      <c r="K10" s="279"/>
      <c r="L10" s="279"/>
      <c r="M10" s="279"/>
      <c r="N10" s="279"/>
      <c r="O10" s="279"/>
      <c r="P10" s="279"/>
    </row>
    <row r="11" spans="1:16" ht="15" customHeight="1">
      <c r="A11" s="1995"/>
      <c r="B11" s="423" t="s">
        <v>382</v>
      </c>
      <c r="C11" s="425" t="s">
        <v>384</v>
      </c>
      <c r="D11" s="542">
        <v>178.2</v>
      </c>
      <c r="E11" s="542">
        <v>208.1</v>
      </c>
      <c r="F11" s="542">
        <f t="shared" si="1"/>
        <v>116.77890011223344</v>
      </c>
      <c r="G11" s="543">
        <f t="shared" si="0"/>
        <v>29.900000000000006</v>
      </c>
      <c r="H11" s="441"/>
      <c r="I11" s="279"/>
      <c r="J11" s="279"/>
      <c r="K11" s="279"/>
      <c r="L11" s="279"/>
      <c r="M11" s="279"/>
      <c r="N11" s="279"/>
      <c r="O11" s="279"/>
      <c r="P11" s="279"/>
    </row>
    <row r="12" spans="1:16" ht="15" customHeight="1">
      <c r="A12" s="1994" t="s">
        <v>9</v>
      </c>
      <c r="B12" s="424" t="s">
        <v>403</v>
      </c>
      <c r="C12" s="406" t="s">
        <v>374</v>
      </c>
      <c r="D12" s="542">
        <v>6.1</v>
      </c>
      <c r="E12" s="542">
        <v>6.2</v>
      </c>
      <c r="F12" s="542">
        <f t="shared" si="1"/>
        <v>101.63934426229508</v>
      </c>
      <c r="G12" s="543">
        <f t="shared" si="0"/>
        <v>0.10000000000000053</v>
      </c>
      <c r="H12" s="441"/>
      <c r="I12" s="279"/>
      <c r="J12" s="279"/>
      <c r="K12" s="279"/>
      <c r="L12" s="279"/>
      <c r="M12" s="279"/>
      <c r="N12" s="279"/>
      <c r="O12" s="279"/>
      <c r="P12" s="279"/>
    </row>
    <row r="13" spans="1:16" ht="15" customHeight="1">
      <c r="A13" s="1995"/>
      <c r="B13" s="423" t="s">
        <v>152</v>
      </c>
      <c r="C13" s="406" t="s">
        <v>374</v>
      </c>
      <c r="D13" s="542">
        <v>25.8</v>
      </c>
      <c r="E13" s="542">
        <v>50.7</v>
      </c>
      <c r="F13" s="542">
        <f t="shared" si="1"/>
        <v>196.51162790697677</v>
      </c>
      <c r="G13" s="543">
        <f t="shared" si="0"/>
        <v>24.900000000000002</v>
      </c>
      <c r="H13" s="441"/>
      <c r="I13" s="279"/>
      <c r="J13" s="279"/>
      <c r="K13" s="279"/>
      <c r="L13" s="279"/>
      <c r="M13" s="279"/>
      <c r="N13" s="279"/>
      <c r="O13" s="279"/>
      <c r="P13" s="279"/>
    </row>
    <row r="14" spans="1:16" ht="15" customHeight="1">
      <c r="A14" s="1996" t="s">
        <v>57</v>
      </c>
      <c r="B14" s="423" t="s">
        <v>403</v>
      </c>
      <c r="C14" s="406" t="s">
        <v>374</v>
      </c>
      <c r="D14" s="542">
        <v>3.4</v>
      </c>
      <c r="E14" s="542">
        <v>6.9</v>
      </c>
      <c r="F14" s="542">
        <f t="shared" si="1"/>
        <v>202.94117647058826</v>
      </c>
      <c r="G14" s="543">
        <f t="shared" si="0"/>
        <v>3.5000000000000004</v>
      </c>
      <c r="H14" s="441"/>
      <c r="I14" s="279"/>
      <c r="J14" s="279"/>
      <c r="K14" s="279"/>
      <c r="L14" s="279"/>
      <c r="M14" s="279"/>
      <c r="N14" s="279"/>
      <c r="O14" s="279"/>
      <c r="P14" s="279"/>
    </row>
    <row r="15" spans="1:16" ht="15" customHeight="1">
      <c r="A15" s="1997"/>
      <c r="B15" s="423" t="s">
        <v>10</v>
      </c>
      <c r="C15" s="406" t="s">
        <v>374</v>
      </c>
      <c r="D15" s="542">
        <v>4.9000000000000004</v>
      </c>
      <c r="E15" s="542">
        <v>1.8</v>
      </c>
      <c r="F15" s="542">
        <f t="shared" si="1"/>
        <v>36.734693877551017</v>
      </c>
      <c r="G15" s="543">
        <f t="shared" si="0"/>
        <v>-3.1000000000000005</v>
      </c>
      <c r="H15" s="441"/>
      <c r="I15" s="279"/>
      <c r="J15" s="279"/>
      <c r="K15" s="279"/>
      <c r="L15" s="279"/>
      <c r="M15" s="279"/>
      <c r="N15" s="279"/>
      <c r="O15" s="279"/>
      <c r="P15" s="279"/>
    </row>
    <row r="16" spans="1:16" ht="15" customHeight="1">
      <c r="A16" s="1998"/>
      <c r="B16" s="423" t="s">
        <v>756</v>
      </c>
      <c r="C16" s="406" t="s">
        <v>374</v>
      </c>
      <c r="D16" s="542">
        <v>5.8</v>
      </c>
      <c r="E16" s="542">
        <v>7.2</v>
      </c>
      <c r="F16" s="542">
        <f t="shared" si="1"/>
        <v>124.13793103448276</v>
      </c>
      <c r="G16" s="543">
        <f t="shared" si="0"/>
        <v>1.4000000000000004</v>
      </c>
      <c r="H16" s="441"/>
      <c r="I16" s="279"/>
      <c r="J16" s="279"/>
      <c r="K16" s="279"/>
      <c r="L16" s="279"/>
      <c r="M16" s="279"/>
      <c r="N16" s="279"/>
      <c r="O16" s="279"/>
      <c r="P16" s="279"/>
    </row>
    <row r="17" spans="1:16" ht="15" customHeight="1">
      <c r="A17" s="1993" t="s">
        <v>398</v>
      </c>
      <c r="B17" s="423" t="s">
        <v>397</v>
      </c>
      <c r="C17" s="425" t="s">
        <v>385</v>
      </c>
      <c r="D17" s="544">
        <v>6.4</v>
      </c>
      <c r="E17" s="544">
        <v>9.9</v>
      </c>
      <c r="F17" s="542">
        <f t="shared" si="1"/>
        <v>154.6875</v>
      </c>
      <c r="G17" s="543">
        <f t="shared" si="0"/>
        <v>3.5</v>
      </c>
      <c r="H17" s="441"/>
      <c r="I17" s="279"/>
      <c r="J17" s="279"/>
      <c r="K17" s="279"/>
      <c r="L17" s="279"/>
      <c r="M17" s="279"/>
      <c r="N17" s="279"/>
      <c r="O17" s="279"/>
      <c r="P17" s="279"/>
    </row>
    <row r="18" spans="1:16" ht="15" customHeight="1">
      <c r="A18" s="1995"/>
      <c r="B18" s="423" t="s">
        <v>399</v>
      </c>
      <c r="C18" s="425" t="s">
        <v>385</v>
      </c>
      <c r="D18" s="544">
        <v>13.7</v>
      </c>
      <c r="E18" s="544">
        <v>1.2</v>
      </c>
      <c r="F18" s="542">
        <f t="shared" si="1"/>
        <v>8.7591240875912408</v>
      </c>
      <c r="G18" s="543">
        <f t="shared" si="0"/>
        <v>-12.5</v>
      </c>
      <c r="H18" s="441"/>
      <c r="I18" s="279"/>
      <c r="J18" s="279"/>
      <c r="K18" s="279"/>
      <c r="L18" s="279"/>
      <c r="M18" s="279"/>
      <c r="N18" s="279"/>
      <c r="O18" s="279"/>
      <c r="P18" s="279"/>
    </row>
    <row r="19" spans="1:16" ht="19.5" customHeight="1">
      <c r="A19" s="1996" t="s">
        <v>79</v>
      </c>
      <c r="B19" s="444" t="s">
        <v>80</v>
      </c>
      <c r="C19" s="406" t="s">
        <v>374</v>
      </c>
      <c r="D19" s="425">
        <v>3.4</v>
      </c>
      <c r="E19" s="425">
        <v>12.5</v>
      </c>
      <c r="F19" s="542">
        <f t="shared" si="1"/>
        <v>367.64705882352945</v>
      </c>
      <c r="G19" s="543">
        <f t="shared" si="0"/>
        <v>9.1</v>
      </c>
      <c r="H19" s="279"/>
      <c r="I19" s="279"/>
      <c r="J19" s="279"/>
      <c r="K19" s="279"/>
      <c r="L19" s="279"/>
      <c r="M19" s="279"/>
      <c r="N19" s="279"/>
      <c r="O19" s="279"/>
      <c r="P19" s="279"/>
    </row>
    <row r="20" spans="1:16" ht="15" customHeight="1">
      <c r="A20" s="1998"/>
      <c r="B20" s="444" t="s">
        <v>150</v>
      </c>
      <c r="C20" s="406" t="s">
        <v>374</v>
      </c>
      <c r="D20" s="425">
        <v>158.9</v>
      </c>
      <c r="E20" s="425">
        <v>176.4</v>
      </c>
      <c r="F20" s="542">
        <f t="shared" si="1"/>
        <v>111.01321585903084</v>
      </c>
      <c r="G20" s="543">
        <f t="shared" si="0"/>
        <v>17.5</v>
      </c>
      <c r="H20" s="279"/>
      <c r="I20" s="279"/>
      <c r="J20" s="279"/>
      <c r="K20" s="279"/>
      <c r="L20" s="279"/>
      <c r="M20" s="279"/>
      <c r="N20" s="279"/>
      <c r="O20" s="279"/>
      <c r="P20" s="279"/>
    </row>
    <row r="21" spans="1:16" ht="18" customHeight="1">
      <c r="A21" s="1996" t="s">
        <v>149</v>
      </c>
      <c r="B21" s="424" t="s">
        <v>368</v>
      </c>
      <c r="C21" s="406" t="s">
        <v>385</v>
      </c>
      <c r="D21" s="425">
        <v>11.8</v>
      </c>
      <c r="E21" s="425">
        <v>8.6999999999999993</v>
      </c>
      <c r="F21" s="542">
        <f t="shared" si="1"/>
        <v>73.72881355932202</v>
      </c>
      <c r="G21" s="543">
        <f t="shared" si="0"/>
        <v>-3.1000000000000014</v>
      </c>
    </row>
    <row r="22" spans="1:16" ht="18" customHeight="1">
      <c r="A22" s="1998"/>
      <c r="B22" s="424" t="s">
        <v>561</v>
      </c>
      <c r="C22" s="406" t="s">
        <v>374</v>
      </c>
      <c r="D22" s="425">
        <v>307.3</v>
      </c>
      <c r="E22" s="425">
        <v>490</v>
      </c>
      <c r="F22" s="542">
        <f t="shared" si="1"/>
        <v>159.45330296127563</v>
      </c>
      <c r="G22" s="543">
        <f t="shared" si="0"/>
        <v>182.7</v>
      </c>
    </row>
    <row r="23" spans="1:16" ht="18" customHeight="1">
      <c r="A23" s="443" t="s">
        <v>404</v>
      </c>
      <c r="B23" s="424" t="s">
        <v>368</v>
      </c>
      <c r="C23" s="406" t="s">
        <v>385</v>
      </c>
      <c r="D23" s="542">
        <v>4.0999999999999996</v>
      </c>
      <c r="E23" s="542">
        <v>1.2</v>
      </c>
      <c r="F23" s="542">
        <f>(E23/D23)*100</f>
        <v>29.268292682926834</v>
      </c>
      <c r="G23" s="543">
        <f t="shared" si="0"/>
        <v>-2.8999999999999995</v>
      </c>
    </row>
    <row r="24" spans="1:16" ht="18" customHeight="1">
      <c r="A24" s="445" t="s">
        <v>394</v>
      </c>
      <c r="B24" s="442" t="s">
        <v>395</v>
      </c>
      <c r="C24" s="406" t="s">
        <v>374</v>
      </c>
      <c r="D24" s="544"/>
      <c r="E24" s="544"/>
      <c r="F24" s="542" t="e">
        <f>(E24/D24)*100</f>
        <v>#DIV/0!</v>
      </c>
      <c r="G24" s="543">
        <f t="shared" si="0"/>
        <v>0</v>
      </c>
    </row>
    <row r="25" spans="1:16" ht="18" customHeight="1">
      <c r="A25" s="445" t="s">
        <v>53</v>
      </c>
      <c r="B25" s="442" t="s">
        <v>395</v>
      </c>
      <c r="C25" s="406" t="s">
        <v>374</v>
      </c>
      <c r="D25" s="542">
        <v>124.5</v>
      </c>
      <c r="E25" s="542">
        <v>125.4</v>
      </c>
      <c r="F25" s="542">
        <f>(E25/D25)*100</f>
        <v>100.72289156626506</v>
      </c>
      <c r="G25" s="543">
        <f t="shared" si="0"/>
        <v>0.90000000000000568</v>
      </c>
    </row>
    <row r="26" spans="1:16" ht="18" customHeight="1">
      <c r="A26" s="424" t="s">
        <v>147</v>
      </c>
      <c r="B26" s="424" t="s">
        <v>148</v>
      </c>
      <c r="C26" s="425" t="s">
        <v>376</v>
      </c>
      <c r="D26" s="425"/>
      <c r="E26" s="425"/>
      <c r="F26" s="542" t="e">
        <f>(E26/D26)*100</f>
        <v>#DIV/0!</v>
      </c>
      <c r="G26" s="406">
        <f t="shared" si="0"/>
        <v>0</v>
      </c>
    </row>
    <row r="27" spans="1:16" ht="18" customHeight="1">
      <c r="A27" s="446" t="s">
        <v>75</v>
      </c>
      <c r="B27" s="446" t="s">
        <v>76</v>
      </c>
      <c r="C27" s="446" t="s">
        <v>374</v>
      </c>
      <c r="D27" s="538">
        <v>274.2</v>
      </c>
      <c r="E27" s="538">
        <v>259.7</v>
      </c>
      <c r="F27" s="542">
        <f>(E27/D27)*100</f>
        <v>94.711889132020417</v>
      </c>
      <c r="G27" s="406">
        <f t="shared" si="0"/>
        <v>-14.5</v>
      </c>
    </row>
    <row r="28" spans="1:16" ht="18" customHeight="1">
      <c r="A28" s="279"/>
      <c r="B28" s="279"/>
      <c r="C28" s="279"/>
      <c r="D28" s="279"/>
      <c r="E28" s="279"/>
      <c r="F28" s="279"/>
      <c r="G28" s="279"/>
    </row>
    <row r="29" spans="1:16" ht="18" customHeight="1">
      <c r="A29" s="279"/>
      <c r="B29" s="279"/>
      <c r="C29" s="279"/>
      <c r="D29" s="279"/>
      <c r="E29" s="279"/>
      <c r="F29" s="279"/>
      <c r="G29" s="279"/>
    </row>
    <row r="30" spans="1:16" ht="18" customHeight="1">
      <c r="A30" s="1539">
        <v>76</v>
      </c>
      <c r="B30" s="1539"/>
      <c r="C30" s="1539"/>
      <c r="D30" s="1539"/>
      <c r="E30" s="1539"/>
      <c r="F30" s="1539"/>
      <c r="G30" s="1539"/>
    </row>
  </sheetData>
  <mergeCells count="13">
    <mergeCell ref="A7:A9"/>
    <mergeCell ref="A30:G30"/>
    <mergeCell ref="A10:A11"/>
    <mergeCell ref="A12:A13"/>
    <mergeCell ref="A14:A16"/>
    <mergeCell ref="A17:A18"/>
    <mergeCell ref="A19:A20"/>
    <mergeCell ref="A21:A22"/>
    <mergeCell ref="A1:G1"/>
    <mergeCell ref="A2:G2"/>
    <mergeCell ref="A3:A4"/>
    <mergeCell ref="F3:F4"/>
    <mergeCell ref="A5:A6"/>
  </mergeCells>
  <pageMargins left="0.7" right="0.7" top="0.75" bottom="0.75" header="0.3" footer="0.3"/>
  <pageSetup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C00000"/>
  </sheetPr>
  <dimension ref="A1:K45"/>
  <sheetViews>
    <sheetView workbookViewId="0">
      <selection activeCell="C3" sqref="C3"/>
    </sheetView>
  </sheetViews>
  <sheetFormatPr defaultRowHeight="14.25"/>
  <cols>
    <col min="1" max="1" width="3.42578125" style="249" customWidth="1"/>
    <col min="2" max="2" width="36.5703125" style="249" customWidth="1"/>
    <col min="3" max="3" width="15.42578125" style="249" customWidth="1"/>
    <col min="4" max="4" width="12.140625" style="249" customWidth="1"/>
    <col min="5" max="5" width="11.28515625" style="249" customWidth="1"/>
    <col min="6" max="6" width="10.28515625" style="249" customWidth="1"/>
    <col min="7" max="12" width="9.140625" style="249"/>
    <col min="13" max="13" width="12.42578125" style="249" customWidth="1"/>
    <col min="14" max="16384" width="9.140625" style="249"/>
  </cols>
  <sheetData>
    <row r="1" spans="2:6">
      <c r="B1" s="629" t="s">
        <v>54</v>
      </c>
      <c r="C1" s="629"/>
      <c r="D1" s="629"/>
      <c r="E1" s="629"/>
      <c r="F1" s="251"/>
    </row>
    <row r="2" spans="2:6">
      <c r="B2" s="629" t="s">
        <v>297</v>
      </c>
      <c r="C2" s="629"/>
      <c r="D2" s="629"/>
      <c r="E2" s="629"/>
      <c r="F2" s="251"/>
    </row>
    <row r="3" spans="2:6" ht="15">
      <c r="B3" s="250"/>
      <c r="C3" s="251"/>
      <c r="D3" s="251"/>
      <c r="E3" s="251"/>
      <c r="F3" s="251"/>
    </row>
    <row r="4" spans="2:6">
      <c r="F4" s="630" t="s">
        <v>1225</v>
      </c>
    </row>
    <row r="5" spans="2:6" ht="27" customHeight="1">
      <c r="B5" s="252"/>
      <c r="C5" s="253" t="s">
        <v>298</v>
      </c>
      <c r="D5" s="430" t="s">
        <v>297</v>
      </c>
      <c r="E5" s="431"/>
      <c r="F5" s="631">
        <v>2012</v>
      </c>
    </row>
    <row r="6" spans="2:6">
      <c r="B6" s="255"/>
      <c r="C6" s="256" t="s">
        <v>299</v>
      </c>
      <c r="D6" s="282">
        <v>2011</v>
      </c>
      <c r="E6" s="282">
        <v>2012</v>
      </c>
      <c r="F6" s="632">
        <v>2011</v>
      </c>
    </row>
    <row r="7" spans="2:6" ht="17.100000000000001" customHeight="1">
      <c r="B7" s="258" t="s">
        <v>300</v>
      </c>
      <c r="C7" s="257"/>
      <c r="D7" s="259"/>
      <c r="E7" s="259"/>
      <c r="F7" s="260" t="s">
        <v>199</v>
      </c>
    </row>
    <row r="8" spans="2:6" ht="17.100000000000001" customHeight="1">
      <c r="B8" s="261" t="s">
        <v>301</v>
      </c>
      <c r="C8" s="257" t="s">
        <v>302</v>
      </c>
      <c r="D8" s="261">
        <v>365.8</v>
      </c>
      <c r="E8" s="261">
        <v>386.8</v>
      </c>
      <c r="F8" s="262">
        <f>SUM(E8/D8*100)</f>
        <v>105.74084199015856</v>
      </c>
    </row>
    <row r="9" spans="2:6" ht="17.100000000000001" customHeight="1">
      <c r="B9" s="261" t="s">
        <v>303</v>
      </c>
      <c r="C9" s="257" t="s">
        <v>304</v>
      </c>
      <c r="D9" s="261">
        <v>168.5</v>
      </c>
      <c r="E9" s="261">
        <v>158.69999999999999</v>
      </c>
      <c r="F9" s="262">
        <f>SUM(E9/D9*100)</f>
        <v>94.183976261127583</v>
      </c>
    </row>
    <row r="10" spans="2:6" ht="17.100000000000001" customHeight="1">
      <c r="B10" s="261" t="s">
        <v>177</v>
      </c>
      <c r="C10" s="257" t="s">
        <v>274</v>
      </c>
      <c r="D10" s="261">
        <v>1094</v>
      </c>
      <c r="E10" s="261">
        <v>1042</v>
      </c>
      <c r="F10" s="262">
        <f>SUM(E10/D10*100)</f>
        <v>95.24680073126143</v>
      </c>
    </row>
    <row r="11" spans="2:6" ht="17.100000000000001" customHeight="1">
      <c r="B11" s="261" t="s">
        <v>178</v>
      </c>
      <c r="C11" s="257" t="s">
        <v>274</v>
      </c>
      <c r="D11" s="261"/>
      <c r="E11" s="261"/>
      <c r="F11" s="278" t="e">
        <f>SUM(E11/D11*100)</f>
        <v>#DIV/0!</v>
      </c>
    </row>
    <row r="12" spans="2:6" ht="17.100000000000001" customHeight="1">
      <c r="B12" s="258" t="s">
        <v>59</v>
      </c>
      <c r="C12" s="257"/>
      <c r="D12" s="261"/>
      <c r="E12" s="261"/>
      <c r="F12" s="262"/>
    </row>
    <row r="13" spans="2:6" ht="17.100000000000001" customHeight="1">
      <c r="B13" s="261" t="s">
        <v>60</v>
      </c>
      <c r="C13" s="257" t="s">
        <v>304</v>
      </c>
      <c r="D13" s="261">
        <v>123.8</v>
      </c>
      <c r="E13" s="261">
        <v>109.7</v>
      </c>
      <c r="F13" s="262">
        <f t="shared" ref="F13:F18" si="0">SUM(E13/D13*100)</f>
        <v>88.610662358642983</v>
      </c>
    </row>
    <row r="14" spans="2:6" ht="17.100000000000001" customHeight="1">
      <c r="B14" s="258" t="s">
        <v>305</v>
      </c>
      <c r="C14" s="257" t="s">
        <v>304</v>
      </c>
      <c r="D14" s="262">
        <v>63.8</v>
      </c>
      <c r="E14" s="262">
        <v>71.599999999999994</v>
      </c>
      <c r="F14" s="262">
        <f t="shared" si="0"/>
        <v>112.22570532915358</v>
      </c>
    </row>
    <row r="15" spans="2:6" ht="17.100000000000001" customHeight="1">
      <c r="B15" s="261" t="s">
        <v>307</v>
      </c>
      <c r="C15" s="257" t="s">
        <v>304</v>
      </c>
      <c r="D15" s="262">
        <v>17.3</v>
      </c>
      <c r="E15" s="262">
        <v>21.4</v>
      </c>
      <c r="F15" s="262">
        <f t="shared" si="0"/>
        <v>123.69942196531791</v>
      </c>
    </row>
    <row r="16" spans="2:6" ht="17.100000000000001" customHeight="1">
      <c r="B16" s="261" t="s">
        <v>308</v>
      </c>
      <c r="C16" s="257" t="s">
        <v>304</v>
      </c>
      <c r="D16" s="262">
        <v>19.399999999999999</v>
      </c>
      <c r="E16" s="262">
        <v>21.6</v>
      </c>
      <c r="F16" s="262">
        <f t="shared" si="0"/>
        <v>111.34020618556704</v>
      </c>
    </row>
    <row r="17" spans="2:11" ht="17.100000000000001" customHeight="1">
      <c r="B17" s="261" t="s">
        <v>309</v>
      </c>
      <c r="C17" s="257" t="s">
        <v>304</v>
      </c>
      <c r="D17" s="262">
        <v>27.1</v>
      </c>
      <c r="E17" s="262">
        <v>28.6</v>
      </c>
      <c r="F17" s="262">
        <f t="shared" si="0"/>
        <v>105.53505535055349</v>
      </c>
    </row>
    <row r="18" spans="2:11" ht="17.100000000000001" customHeight="1">
      <c r="B18" s="261" t="s">
        <v>310</v>
      </c>
      <c r="C18" s="257" t="s">
        <v>311</v>
      </c>
      <c r="D18" s="261">
        <v>2.8</v>
      </c>
      <c r="E18" s="261">
        <v>5.6</v>
      </c>
      <c r="F18" s="262">
        <f t="shared" si="0"/>
        <v>200</v>
      </c>
    </row>
    <row r="19" spans="2:11" ht="17.100000000000001" customHeight="1">
      <c r="B19" s="261" t="s">
        <v>312</v>
      </c>
      <c r="C19" s="257" t="s">
        <v>313</v>
      </c>
      <c r="D19" s="261">
        <v>160.30000000000001</v>
      </c>
      <c r="E19" s="261">
        <v>569.5</v>
      </c>
      <c r="F19" s="262">
        <v>78.900000000000006</v>
      </c>
    </row>
    <row r="20" spans="2:11" ht="17.100000000000001" customHeight="1">
      <c r="B20" s="258" t="s">
        <v>55</v>
      </c>
      <c r="C20" s="257"/>
      <c r="D20" s="261"/>
      <c r="E20" s="261"/>
      <c r="F20" s="262"/>
    </row>
    <row r="21" spans="2:11" ht="17.100000000000001" customHeight="1">
      <c r="B21" s="261" t="s">
        <v>310</v>
      </c>
      <c r="C21" s="257" t="s">
        <v>311</v>
      </c>
      <c r="D21" s="261">
        <v>11.5</v>
      </c>
      <c r="E21" s="261"/>
      <c r="F21" s="262">
        <f>SUM(E21/D21*100)</f>
        <v>0</v>
      </c>
    </row>
    <row r="22" spans="2:11" ht="17.100000000000001" customHeight="1">
      <c r="B22" s="261" t="s">
        <v>312</v>
      </c>
      <c r="C22" s="257" t="s">
        <v>313</v>
      </c>
      <c r="D22" s="261">
        <v>5356.2</v>
      </c>
      <c r="E22" s="261"/>
      <c r="F22" s="262">
        <f>SUM(E22/D22*100)</f>
        <v>0</v>
      </c>
    </row>
    <row r="23" spans="2:11" ht="17.100000000000001" customHeight="1">
      <c r="B23" s="258" t="s">
        <v>84</v>
      </c>
      <c r="C23" s="257"/>
      <c r="D23" s="261"/>
      <c r="E23" s="261"/>
      <c r="F23" s="262"/>
    </row>
    <row r="24" spans="2:11" ht="17.100000000000001" customHeight="1">
      <c r="B24" s="263" t="s">
        <v>748</v>
      </c>
      <c r="C24" s="257" t="s">
        <v>306</v>
      </c>
      <c r="D24" s="261">
        <v>38107.9</v>
      </c>
      <c r="E24" s="261">
        <v>48763.1</v>
      </c>
      <c r="F24" s="262">
        <f>SUM(E24/D24*100)</f>
        <v>127.9606065933835</v>
      </c>
    </row>
    <row r="25" spans="2:11" ht="17.100000000000001" customHeight="1">
      <c r="B25" s="261" t="s">
        <v>310</v>
      </c>
      <c r="C25" s="257" t="s">
        <v>311</v>
      </c>
      <c r="D25" s="261">
        <v>18.2</v>
      </c>
      <c r="E25" s="261">
        <v>19.600000000000001</v>
      </c>
      <c r="F25" s="262">
        <f>SUM(E25/D25*100)</f>
        <v>107.69230769230771</v>
      </c>
    </row>
    <row r="26" spans="2:11" ht="17.100000000000001" customHeight="1">
      <c r="B26" s="261" t="s">
        <v>312</v>
      </c>
      <c r="C26" s="257" t="s">
        <v>313</v>
      </c>
      <c r="D26" s="261">
        <v>11939.2</v>
      </c>
      <c r="E26" s="261">
        <v>12921.2</v>
      </c>
      <c r="F26" s="262">
        <f>SUM(E26/D26*100)</f>
        <v>108.22500670061646</v>
      </c>
    </row>
    <row r="27" spans="2:11" ht="17.100000000000001" customHeight="1">
      <c r="B27" s="264"/>
      <c r="C27" s="264"/>
      <c r="D27" s="264"/>
      <c r="E27" s="264"/>
      <c r="F27" s="264"/>
    </row>
    <row r="28" spans="2:11" ht="17.100000000000001" customHeight="1">
      <c r="B28" s="264"/>
      <c r="C28" s="264"/>
      <c r="D28" s="264"/>
      <c r="E28" s="264"/>
      <c r="F28" s="264"/>
    </row>
    <row r="29" spans="2:11">
      <c r="B29" s="629" t="s">
        <v>23</v>
      </c>
      <c r="C29" s="251"/>
      <c r="D29" s="251"/>
      <c r="E29" s="251"/>
      <c r="F29" s="251"/>
    </row>
    <row r="30" spans="2:11">
      <c r="D30" s="265"/>
      <c r="E30" s="266"/>
      <c r="F30" s="267"/>
    </row>
    <row r="31" spans="2:11" ht="20.25" customHeight="1">
      <c r="B31" s="268"/>
      <c r="C31" s="254" t="s">
        <v>175</v>
      </c>
      <c r="D31" s="269"/>
      <c r="E31" s="1999" t="s">
        <v>267</v>
      </c>
      <c r="F31" s="2000"/>
      <c r="H31" s="270"/>
      <c r="I31" s="270"/>
      <c r="J31" s="271"/>
      <c r="K31" s="271"/>
    </row>
    <row r="32" spans="2:11" ht="21" customHeight="1">
      <c r="B32" s="272" t="s">
        <v>268</v>
      </c>
      <c r="C32" s="257">
        <v>2011</v>
      </c>
      <c r="D32" s="257">
        <v>2012</v>
      </c>
      <c r="E32" s="272" t="s">
        <v>362</v>
      </c>
      <c r="F32" s="273" t="s">
        <v>320</v>
      </c>
      <c r="H32" s="270"/>
      <c r="I32" s="270"/>
      <c r="J32" s="271"/>
      <c r="K32" s="270"/>
    </row>
    <row r="33" spans="1:11" ht="22.5" customHeight="1">
      <c r="B33" s="261" t="s">
        <v>43</v>
      </c>
      <c r="C33" s="262">
        <v>1356.1</v>
      </c>
      <c r="D33" s="262">
        <v>1106.9000000000001</v>
      </c>
      <c r="E33" s="262">
        <f t="shared" ref="E33:E40" si="1">+D33/C33*100</f>
        <v>81.623774057960347</v>
      </c>
      <c r="F33" s="262">
        <f t="shared" ref="F33:F40" si="2">+D33-C33</f>
        <v>-249.19999999999982</v>
      </c>
      <c r="H33" s="270"/>
      <c r="I33" s="270"/>
      <c r="J33" s="271"/>
      <c r="K33" s="270"/>
    </row>
    <row r="34" spans="1:11" ht="22.5" customHeight="1">
      <c r="B34" s="261" t="s">
        <v>24</v>
      </c>
      <c r="C34" s="262">
        <v>536.4</v>
      </c>
      <c r="D34" s="262">
        <v>546</v>
      </c>
      <c r="E34" s="262">
        <f t="shared" si="1"/>
        <v>101.78970917225951</v>
      </c>
      <c r="F34" s="262">
        <f t="shared" si="2"/>
        <v>9.6000000000000227</v>
      </c>
      <c r="H34" s="270"/>
      <c r="I34" s="270"/>
      <c r="J34" s="271"/>
      <c r="K34" s="270"/>
    </row>
    <row r="35" spans="1:11" ht="22.5" customHeight="1">
      <c r="B35" s="261" t="s">
        <v>25</v>
      </c>
      <c r="C35" s="262">
        <v>286</v>
      </c>
      <c r="D35" s="262">
        <v>303.5</v>
      </c>
      <c r="E35" s="262">
        <f t="shared" si="1"/>
        <v>106.11888111888112</v>
      </c>
      <c r="F35" s="262">
        <f t="shared" si="2"/>
        <v>17.5</v>
      </c>
      <c r="H35" s="270"/>
      <c r="I35" s="270"/>
      <c r="J35" s="271"/>
      <c r="K35" s="270"/>
    </row>
    <row r="36" spans="1:11" ht="22.5" customHeight="1">
      <c r="B36" s="261" t="s">
        <v>26</v>
      </c>
      <c r="C36" s="262">
        <v>250.4</v>
      </c>
      <c r="D36" s="262">
        <v>242.5</v>
      </c>
      <c r="E36" s="262">
        <f t="shared" si="1"/>
        <v>96.845047923322682</v>
      </c>
      <c r="F36" s="262">
        <f t="shared" si="2"/>
        <v>-7.9000000000000057</v>
      </c>
      <c r="H36" s="270"/>
      <c r="I36" s="270"/>
      <c r="J36" s="271"/>
      <c r="K36" s="270"/>
    </row>
    <row r="37" spans="1:11" ht="22.5" customHeight="1">
      <c r="B37" s="261" t="s">
        <v>27</v>
      </c>
      <c r="C37" s="262">
        <v>494.6</v>
      </c>
      <c r="D37" s="262">
        <v>498.8</v>
      </c>
      <c r="E37" s="262">
        <f t="shared" si="1"/>
        <v>100.84917104731095</v>
      </c>
      <c r="F37" s="262">
        <f t="shared" si="2"/>
        <v>4.1999999999999886</v>
      </c>
      <c r="H37" s="270"/>
      <c r="I37" s="270"/>
      <c r="J37" s="271"/>
      <c r="K37" s="270"/>
    </row>
    <row r="38" spans="1:11" ht="22.5" customHeight="1">
      <c r="B38" s="261" t="s">
        <v>28</v>
      </c>
      <c r="C38" s="262">
        <v>107.7</v>
      </c>
      <c r="D38" s="262">
        <v>115.5</v>
      </c>
      <c r="E38" s="262">
        <f t="shared" si="1"/>
        <v>107.24233983286908</v>
      </c>
      <c r="F38" s="262">
        <f t="shared" si="2"/>
        <v>7.7999999999999972</v>
      </c>
      <c r="H38" s="270"/>
      <c r="I38" s="270"/>
      <c r="J38" s="271"/>
      <c r="K38" s="270"/>
    </row>
    <row r="39" spans="1:11" ht="22.5" customHeight="1">
      <c r="B39" s="261" t="s">
        <v>29</v>
      </c>
      <c r="C39" s="262">
        <v>141.80000000000001</v>
      </c>
      <c r="D39" s="262">
        <v>152.19999999999999</v>
      </c>
      <c r="E39" s="262">
        <f t="shared" si="1"/>
        <v>107.33427362482368</v>
      </c>
      <c r="F39" s="262">
        <f t="shared" si="2"/>
        <v>10.399999999999977</v>
      </c>
      <c r="H39" s="270"/>
      <c r="I39" s="270"/>
      <c r="J39" s="271"/>
      <c r="K39" s="270"/>
    </row>
    <row r="40" spans="1:11" ht="22.5" customHeight="1">
      <c r="B40" s="261" t="s">
        <v>30</v>
      </c>
      <c r="C40" s="262">
        <v>75.7</v>
      </c>
      <c r="D40" s="262">
        <v>81.3</v>
      </c>
      <c r="E40" s="262">
        <f t="shared" si="1"/>
        <v>107.39762219286658</v>
      </c>
      <c r="F40" s="262">
        <f t="shared" si="2"/>
        <v>5.5999999999999943</v>
      </c>
      <c r="H40" s="270"/>
      <c r="I40" s="270"/>
      <c r="J40" s="271"/>
      <c r="K40" s="270"/>
    </row>
    <row r="41" spans="1:11">
      <c r="H41" s="271"/>
      <c r="I41" s="271"/>
      <c r="J41" s="271"/>
      <c r="K41" s="271"/>
    </row>
    <row r="45" spans="1:11">
      <c r="A45" s="2001">
        <v>77</v>
      </c>
      <c r="B45" s="2001"/>
      <c r="C45" s="2001"/>
      <c r="D45" s="2001"/>
      <c r="E45" s="2001"/>
      <c r="F45" s="2001"/>
    </row>
  </sheetData>
  <mergeCells count="2">
    <mergeCell ref="E31:F31"/>
    <mergeCell ref="A45:F45"/>
  </mergeCells>
  <phoneticPr fontId="2" type="noConversion"/>
  <printOptions horizontalCentered="1" verticalCentered="1"/>
  <pageMargins left="0.6" right="0.39370078740157499" top="0" bottom="0.196850393700787" header="0" footer="0"/>
  <pageSetup paperSize="9" orientation="portrait" horizontalDpi="120" verticalDpi="144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J26"/>
  <sheetViews>
    <sheetView topLeftCell="BN1" workbookViewId="0">
      <selection activeCell="D1" sqref="D1:N2"/>
    </sheetView>
  </sheetViews>
  <sheetFormatPr defaultRowHeight="12.75"/>
  <cols>
    <col min="1" max="1" width="3.42578125" customWidth="1"/>
    <col min="2" max="2" width="11.7109375" customWidth="1"/>
    <col min="3" max="3" width="8.42578125" customWidth="1"/>
    <col min="4" max="5" width="8.85546875" customWidth="1"/>
    <col min="6" max="6" width="8.5703125" customWidth="1"/>
    <col min="7" max="7" width="9" customWidth="1"/>
    <col min="8" max="8" width="7.7109375" customWidth="1"/>
    <col min="9" max="9" width="7.28515625" customWidth="1"/>
    <col min="10" max="10" width="6.7109375" customWidth="1"/>
    <col min="11" max="11" width="6.140625" customWidth="1"/>
    <col min="12" max="12" width="6" customWidth="1"/>
    <col min="13" max="13" width="4.5703125" customWidth="1"/>
    <col min="14" max="14" width="5" customWidth="1"/>
    <col min="15" max="15" width="7" customWidth="1"/>
    <col min="16" max="16" width="6.5703125" customWidth="1"/>
    <col min="17" max="17" width="7.42578125" customWidth="1"/>
    <col min="18" max="18" width="6.28515625" customWidth="1"/>
    <col min="19" max="19" width="3.85546875" customWidth="1"/>
    <col min="20" max="20" width="4.42578125" customWidth="1"/>
    <col min="21" max="21" width="5.7109375" customWidth="1"/>
    <col min="22" max="22" width="4.85546875" customWidth="1"/>
    <col min="23" max="23" width="12.140625" customWidth="1"/>
    <col min="24" max="24" width="8.28515625" customWidth="1"/>
    <col min="25" max="25" width="6.140625" customWidth="1"/>
    <col min="26" max="26" width="8.5703125" customWidth="1"/>
    <col min="27" max="27" width="7.140625" customWidth="1"/>
    <col min="28" max="28" width="5.85546875" customWidth="1"/>
    <col min="29" max="29" width="9.5703125" customWidth="1"/>
    <col min="30" max="30" width="5.5703125" customWidth="1"/>
    <col min="31" max="31" width="6.28515625" customWidth="1"/>
    <col min="32" max="32" width="5.5703125" customWidth="1"/>
    <col min="33" max="33" width="7.85546875" customWidth="1"/>
    <col min="34" max="34" width="7.28515625" customWidth="1"/>
    <col min="35" max="35" width="6.7109375" customWidth="1"/>
    <col min="36" max="36" width="7.42578125" customWidth="1"/>
    <col min="37" max="37" width="7.7109375" customWidth="1"/>
    <col min="38" max="38" width="4.7109375" customWidth="1"/>
    <col min="39" max="39" width="7.140625" customWidth="1"/>
    <col min="40" max="40" width="5.85546875" customWidth="1"/>
    <col min="41" max="41" width="5.28515625" customWidth="1"/>
    <col min="42" max="42" width="8" customWidth="1"/>
    <col min="43" max="43" width="13.5703125" customWidth="1"/>
    <col min="44" max="45" width="7" customWidth="1"/>
    <col min="46" max="46" width="5.140625" customWidth="1"/>
    <col min="47" max="47" width="5" customWidth="1"/>
    <col min="48" max="48" width="5.140625" customWidth="1"/>
    <col min="49" max="49" width="5.5703125" customWidth="1"/>
    <col min="50" max="50" width="4.7109375" customWidth="1"/>
    <col min="51" max="51" width="5.7109375" customWidth="1"/>
    <col min="52" max="52" width="5" customWidth="1"/>
    <col min="53" max="53" width="5.140625" customWidth="1"/>
    <col min="54" max="54" width="5.42578125" customWidth="1"/>
    <col min="55" max="55" width="4.42578125" customWidth="1"/>
    <col min="56" max="56" width="5.5703125" customWidth="1"/>
    <col min="57" max="58" width="5.28515625" customWidth="1"/>
    <col min="59" max="59" width="4.5703125" customWidth="1"/>
    <col min="60" max="60" width="3.7109375" customWidth="1"/>
    <col min="61" max="61" width="5" customWidth="1"/>
    <col min="62" max="62" width="3.5703125" customWidth="1"/>
    <col min="63" max="63" width="6.7109375" customWidth="1"/>
    <col min="64" max="64" width="5.5703125" customWidth="1"/>
    <col min="65" max="65" width="6.7109375" customWidth="1"/>
    <col min="66" max="66" width="4.28515625" customWidth="1"/>
    <col min="67" max="67" width="8" customWidth="1"/>
    <col min="68" max="68" width="6.140625" customWidth="1"/>
    <col min="69" max="69" width="11.7109375" customWidth="1"/>
    <col min="70" max="70" width="6.42578125" customWidth="1"/>
    <col min="71" max="71" width="4.140625" customWidth="1"/>
    <col min="74" max="74" width="6.85546875" customWidth="1"/>
    <col min="75" max="75" width="6.42578125" customWidth="1"/>
    <col min="76" max="76" width="8" customWidth="1"/>
    <col min="77" max="77" width="6.42578125" customWidth="1"/>
    <col min="78" max="78" width="7.28515625" customWidth="1"/>
    <col min="79" max="79" width="7.140625" customWidth="1"/>
    <col min="80" max="80" width="5" customWidth="1"/>
    <col min="81" max="81" width="5.5703125" customWidth="1"/>
    <col min="82" max="82" width="7.7109375" customWidth="1"/>
    <col min="83" max="83" width="8.85546875" customWidth="1"/>
    <col min="84" max="84" width="9" customWidth="1"/>
    <col min="85" max="85" width="7.140625" customWidth="1"/>
  </cols>
  <sheetData>
    <row r="1" spans="1:88">
      <c r="A1" s="99"/>
      <c r="B1" s="99"/>
      <c r="C1" s="99"/>
      <c r="D1" s="2010" t="s">
        <v>2157</v>
      </c>
      <c r="E1" s="2010"/>
      <c r="F1" s="2010"/>
      <c r="G1" s="2010"/>
      <c r="H1" s="2010"/>
      <c r="I1" s="2010"/>
      <c r="J1" s="2010"/>
      <c r="K1" s="2010"/>
      <c r="L1" s="2010"/>
      <c r="M1" s="2010"/>
      <c r="N1" s="2010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</row>
    <row r="2" spans="1:88">
      <c r="A2" s="99"/>
      <c r="B2" s="99"/>
      <c r="C2" s="99"/>
      <c r="D2" s="2010"/>
      <c r="E2" s="2010"/>
      <c r="F2" s="2010"/>
      <c r="G2" s="2010"/>
      <c r="H2" s="2010"/>
      <c r="I2" s="2010"/>
      <c r="J2" s="2010"/>
      <c r="K2" s="2010"/>
      <c r="L2" s="2010"/>
      <c r="M2" s="2010"/>
      <c r="N2" s="2010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</row>
    <row r="3" spans="1:88" s="93" customFormat="1" ht="15">
      <c r="A3" s="1121"/>
      <c r="B3" s="1121"/>
      <c r="C3" s="1121"/>
      <c r="D3" s="1122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3" t="s">
        <v>2069</v>
      </c>
      <c r="P3" s="1121"/>
      <c r="Q3" s="1121"/>
      <c r="R3" s="1121"/>
      <c r="S3" s="1121"/>
      <c r="T3" s="1121"/>
      <c r="U3" s="1121"/>
      <c r="V3" s="1121"/>
      <c r="W3" s="1121"/>
      <c r="X3" s="1121"/>
      <c r="Y3" s="1122"/>
      <c r="Z3" s="1121"/>
      <c r="AA3" s="1121"/>
      <c r="AB3" s="1121"/>
      <c r="AC3" s="1121"/>
      <c r="AD3" s="1121"/>
      <c r="AE3" s="1121"/>
      <c r="AF3" s="1121"/>
      <c r="AG3" s="1121"/>
      <c r="AH3" s="1121"/>
      <c r="AI3" s="1121"/>
      <c r="AJ3" s="1121"/>
      <c r="AK3" s="1121"/>
      <c r="AL3" s="1121"/>
      <c r="AM3" s="1121"/>
      <c r="AN3" s="1121"/>
      <c r="AO3" s="1121"/>
      <c r="AP3" s="1121"/>
      <c r="AQ3" s="1121"/>
      <c r="AR3" s="1121"/>
      <c r="AS3" s="1121"/>
      <c r="AT3" s="1122"/>
      <c r="AU3" s="1121"/>
      <c r="AV3" s="1121"/>
      <c r="AW3" s="1121"/>
      <c r="AX3" s="1121"/>
      <c r="AY3" s="1121"/>
      <c r="AZ3" s="1121"/>
      <c r="BA3" s="1121"/>
      <c r="BB3" s="1121"/>
      <c r="BC3" s="1121"/>
      <c r="BD3" s="1121"/>
      <c r="BE3" s="1121"/>
      <c r="BF3" s="1121"/>
      <c r="BG3" s="1121"/>
      <c r="BH3" s="1121"/>
      <c r="BI3" s="1121"/>
      <c r="BJ3" s="1121"/>
      <c r="BK3" s="1121"/>
      <c r="BL3" s="1121"/>
      <c r="BM3" s="1121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</row>
    <row r="4" spans="1:88" s="93" customFormat="1">
      <c r="A4" s="1787" t="s">
        <v>1021</v>
      </c>
      <c r="B4" s="1800" t="s">
        <v>2070</v>
      </c>
      <c r="C4" s="1787" t="s">
        <v>1111</v>
      </c>
      <c r="D4" s="2006" t="s">
        <v>805</v>
      </c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1800" t="s">
        <v>2070</v>
      </c>
      <c r="X4" s="2006" t="s">
        <v>2071</v>
      </c>
      <c r="Y4" s="2006"/>
      <c r="Z4" s="2006"/>
      <c r="AA4" s="2006"/>
      <c r="AB4" s="2006"/>
      <c r="AC4" s="2006"/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6"/>
      <c r="AO4" s="2006"/>
      <c r="AP4" s="2006"/>
      <c r="AQ4" s="1800" t="s">
        <v>2070</v>
      </c>
      <c r="AR4" s="2006" t="s">
        <v>2072</v>
      </c>
      <c r="AS4" s="2006"/>
      <c r="AT4" s="2006"/>
      <c r="AU4" s="2006"/>
      <c r="AV4" s="2006"/>
      <c r="AW4" s="2006"/>
      <c r="AX4" s="2006"/>
      <c r="AY4" s="2006"/>
      <c r="AZ4" s="2006"/>
      <c r="BA4" s="2006"/>
      <c r="BB4" s="2006"/>
      <c r="BC4" s="2006"/>
      <c r="BD4" s="2006"/>
      <c r="BE4" s="2006"/>
      <c r="BF4" s="2006"/>
      <c r="BG4" s="2006"/>
      <c r="BH4" s="2006"/>
      <c r="BI4" s="2006"/>
      <c r="BJ4" s="2006"/>
      <c r="BK4" s="2011" t="s">
        <v>2073</v>
      </c>
      <c r="BL4" s="2012"/>
      <c r="BM4" s="2012"/>
      <c r="BN4" s="2012"/>
      <c r="BO4" s="2012"/>
      <c r="BP4" s="2012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5"/>
    </row>
    <row r="5" spans="1:88" s="93" customFormat="1" ht="12.75" customHeight="1">
      <c r="A5" s="1803"/>
      <c r="B5" s="1801"/>
      <c r="C5" s="1803"/>
      <c r="D5" s="2006" t="s">
        <v>2074</v>
      </c>
      <c r="E5" s="2006"/>
      <c r="F5" s="2006"/>
      <c r="G5" s="2006"/>
      <c r="H5" s="2006"/>
      <c r="I5" s="2006"/>
      <c r="J5" s="2006"/>
      <c r="K5" s="2006"/>
      <c r="L5" s="2006"/>
      <c r="M5" s="2006"/>
      <c r="N5" s="2006"/>
      <c r="O5" s="2006"/>
      <c r="P5" s="2006"/>
      <c r="Q5" s="2006"/>
      <c r="R5" s="2006"/>
      <c r="S5" s="2006"/>
      <c r="T5" s="2006"/>
      <c r="U5" s="2006"/>
      <c r="V5" s="2006"/>
      <c r="W5" s="1801"/>
      <c r="X5" s="2006" t="s">
        <v>2075</v>
      </c>
      <c r="Y5" s="2006"/>
      <c r="Z5" s="2006"/>
      <c r="AA5" s="2006"/>
      <c r="AB5" s="2006"/>
      <c r="AC5" s="2006"/>
      <c r="AD5" s="2006"/>
      <c r="AE5" s="2006"/>
      <c r="AF5" s="2006"/>
      <c r="AG5" s="2006"/>
      <c r="AH5" s="2006"/>
      <c r="AI5" s="2006"/>
      <c r="AJ5" s="2006"/>
      <c r="AK5" s="2006"/>
      <c r="AL5" s="2006"/>
      <c r="AM5" s="2006"/>
      <c r="AN5" s="2006"/>
      <c r="AO5" s="2006"/>
      <c r="AP5" s="2006"/>
      <c r="AQ5" s="1801"/>
      <c r="AR5" s="2006" t="s">
        <v>2076</v>
      </c>
      <c r="AS5" s="2006"/>
      <c r="AT5" s="2006"/>
      <c r="AU5" s="2006"/>
      <c r="AV5" s="2006"/>
      <c r="AW5" s="2006"/>
      <c r="AX5" s="2006"/>
      <c r="AY5" s="2006"/>
      <c r="AZ5" s="2006"/>
      <c r="BA5" s="2006"/>
      <c r="BB5" s="2006"/>
      <c r="BC5" s="2006"/>
      <c r="BD5" s="2006"/>
      <c r="BE5" s="2006"/>
      <c r="BF5" s="2006"/>
      <c r="BG5" s="2006"/>
      <c r="BH5" s="2006"/>
      <c r="BI5" s="2006"/>
      <c r="BJ5" s="2006"/>
      <c r="BK5" s="2013" t="s">
        <v>2077</v>
      </c>
      <c r="BL5" s="2013"/>
      <c r="BM5" s="2013"/>
      <c r="BN5" s="2013"/>
      <c r="BO5" s="2013"/>
      <c r="BP5" s="2014"/>
      <c r="BQ5" s="1800" t="s">
        <v>2070</v>
      </c>
      <c r="BR5" s="2027" t="s">
        <v>2078</v>
      </c>
      <c r="BS5" s="2013"/>
      <c r="BT5" s="2013"/>
      <c r="BU5" s="2013"/>
      <c r="BV5" s="2014"/>
      <c r="BW5" s="2027" t="s">
        <v>2079</v>
      </c>
      <c r="BX5" s="2013"/>
      <c r="BY5" s="2013"/>
      <c r="BZ5" s="2013"/>
      <c r="CA5" s="2013"/>
      <c r="CB5" s="2013"/>
      <c r="CC5" s="2013"/>
      <c r="CD5" s="2013"/>
      <c r="CE5" s="2013"/>
      <c r="CF5" s="2013"/>
      <c r="CG5" s="2013"/>
      <c r="CH5" s="2013"/>
      <c r="CI5" s="2013"/>
      <c r="CJ5" s="2014"/>
    </row>
    <row r="6" spans="1:88" s="93" customFormat="1" ht="16.5" customHeight="1">
      <c r="A6" s="1803"/>
      <c r="B6" s="1801"/>
      <c r="C6" s="1803"/>
      <c r="D6" s="2003" t="s">
        <v>45</v>
      </c>
      <c r="E6" s="2006" t="s">
        <v>805</v>
      </c>
      <c r="F6" s="2006"/>
      <c r="G6" s="2006"/>
      <c r="H6" s="2006"/>
      <c r="I6" s="2006"/>
      <c r="J6" s="2006"/>
      <c r="K6" s="2006"/>
      <c r="L6" s="2006"/>
      <c r="M6" s="2006"/>
      <c r="N6" s="2006"/>
      <c r="O6" s="2006"/>
      <c r="P6" s="2006"/>
      <c r="Q6" s="2006"/>
      <c r="R6" s="2006"/>
      <c r="S6" s="2006"/>
      <c r="T6" s="2006"/>
      <c r="U6" s="2006"/>
      <c r="V6" s="2006"/>
      <c r="W6" s="1801"/>
      <c r="X6" s="2003" t="s">
        <v>45</v>
      </c>
      <c r="Y6" s="2006" t="s">
        <v>805</v>
      </c>
      <c r="Z6" s="2006"/>
      <c r="AA6" s="2006"/>
      <c r="AB6" s="2006"/>
      <c r="AC6" s="2006"/>
      <c r="AD6" s="2006"/>
      <c r="AE6" s="2006"/>
      <c r="AF6" s="2006"/>
      <c r="AG6" s="2006"/>
      <c r="AH6" s="2006"/>
      <c r="AI6" s="2006"/>
      <c r="AJ6" s="2006"/>
      <c r="AK6" s="2006"/>
      <c r="AL6" s="2006"/>
      <c r="AM6" s="2006"/>
      <c r="AN6" s="2006"/>
      <c r="AO6" s="2006"/>
      <c r="AP6" s="2006"/>
      <c r="AQ6" s="1801"/>
      <c r="AR6" s="2003" t="s">
        <v>45</v>
      </c>
      <c r="AS6" s="2006" t="s">
        <v>805</v>
      </c>
      <c r="AT6" s="2006"/>
      <c r="AU6" s="2006"/>
      <c r="AV6" s="2006"/>
      <c r="AW6" s="2006"/>
      <c r="AX6" s="2006"/>
      <c r="AY6" s="2006"/>
      <c r="AZ6" s="2006"/>
      <c r="BA6" s="2006"/>
      <c r="BB6" s="2006"/>
      <c r="BC6" s="2006"/>
      <c r="BD6" s="2006"/>
      <c r="BE6" s="2006"/>
      <c r="BF6" s="2006"/>
      <c r="BG6" s="2006"/>
      <c r="BH6" s="2006"/>
      <c r="BI6" s="2006"/>
      <c r="BJ6" s="2006"/>
      <c r="BK6" s="2024" t="s">
        <v>45</v>
      </c>
      <c r="BL6" s="1789" t="s">
        <v>6</v>
      </c>
      <c r="BM6" s="1789"/>
      <c r="BN6" s="1789"/>
      <c r="BO6" s="1789"/>
      <c r="BP6" s="1789"/>
      <c r="BQ6" s="1801"/>
      <c r="BR6" s="2025" t="s">
        <v>45</v>
      </c>
      <c r="BS6" s="1789" t="s">
        <v>6</v>
      </c>
      <c r="BT6" s="1789"/>
      <c r="BU6" s="1789"/>
      <c r="BV6" s="1789"/>
      <c r="BW6" s="2003" t="s">
        <v>45</v>
      </c>
      <c r="BX6" s="1417" t="s">
        <v>6</v>
      </c>
      <c r="BY6" s="1417"/>
      <c r="BZ6" s="1417"/>
      <c r="CA6" s="1417"/>
      <c r="CB6" s="1417"/>
      <c r="CC6" s="1417"/>
      <c r="CD6" s="1417"/>
      <c r="CE6" s="1417"/>
      <c r="CF6" s="1417"/>
      <c r="CG6" s="1417"/>
      <c r="CH6" s="1417"/>
      <c r="CI6" s="1417"/>
      <c r="CJ6" s="1417"/>
    </row>
    <row r="7" spans="1:88" s="93" customFormat="1">
      <c r="A7" s="1803"/>
      <c r="B7" s="1801"/>
      <c r="C7" s="1803"/>
      <c r="D7" s="2007"/>
      <c r="E7" s="1800" t="s">
        <v>2080</v>
      </c>
      <c r="F7" s="2015" t="s">
        <v>6</v>
      </c>
      <c r="G7" s="2016"/>
      <c r="H7" s="2019" t="s">
        <v>2081</v>
      </c>
      <c r="I7" s="2002" t="s">
        <v>2082</v>
      </c>
      <c r="J7" s="2015" t="s">
        <v>2083</v>
      </c>
      <c r="K7" s="2020"/>
      <c r="L7" s="2020"/>
      <c r="M7" s="2020"/>
      <c r="N7" s="2020"/>
      <c r="O7" s="2016"/>
      <c r="P7" s="2002" t="s">
        <v>2084</v>
      </c>
      <c r="Q7" s="2002" t="s">
        <v>2085</v>
      </c>
      <c r="R7" s="1789" t="s">
        <v>6</v>
      </c>
      <c r="S7" s="1789"/>
      <c r="T7" s="1789"/>
      <c r="U7" s="1789"/>
      <c r="V7" s="1800" t="s">
        <v>2086</v>
      </c>
      <c r="W7" s="1801"/>
      <c r="X7" s="2007"/>
      <c r="Y7" s="1800" t="s">
        <v>2087</v>
      </c>
      <c r="Z7" s="2006" t="s">
        <v>6</v>
      </c>
      <c r="AA7" s="2006"/>
      <c r="AB7" s="1800" t="s">
        <v>2088</v>
      </c>
      <c r="AC7" s="2006" t="s">
        <v>6</v>
      </c>
      <c r="AD7" s="2006"/>
      <c r="AE7" s="2006"/>
      <c r="AF7" s="2006"/>
      <c r="AG7" s="2006"/>
      <c r="AH7" s="2006"/>
      <c r="AI7" s="2002" t="s">
        <v>2089</v>
      </c>
      <c r="AJ7" s="2002" t="s">
        <v>2090</v>
      </c>
      <c r="AK7" s="1789" t="s">
        <v>6</v>
      </c>
      <c r="AL7" s="1789"/>
      <c r="AM7" s="1789"/>
      <c r="AN7" s="2002" t="s">
        <v>2091</v>
      </c>
      <c r="AO7" s="1789" t="s">
        <v>6</v>
      </c>
      <c r="AP7" s="1789"/>
      <c r="AQ7" s="1801"/>
      <c r="AR7" s="2004"/>
      <c r="AS7" s="2002" t="s">
        <v>2092</v>
      </c>
      <c r="AT7" s="1417" t="s">
        <v>6</v>
      </c>
      <c r="AU7" s="1417"/>
      <c r="AV7" s="1417"/>
      <c r="AW7" s="1417"/>
      <c r="AX7" s="2002" t="s">
        <v>2093</v>
      </c>
      <c r="AY7" s="1417" t="s">
        <v>6</v>
      </c>
      <c r="AZ7" s="1417"/>
      <c r="BA7" s="2002" t="s">
        <v>2094</v>
      </c>
      <c r="BB7" s="1417" t="s">
        <v>6</v>
      </c>
      <c r="BC7" s="1417"/>
      <c r="BD7" s="2002" t="s">
        <v>2095</v>
      </c>
      <c r="BE7" s="1417" t="s">
        <v>6</v>
      </c>
      <c r="BF7" s="1417"/>
      <c r="BG7" s="1417"/>
      <c r="BH7" s="1417"/>
      <c r="BI7" s="1417"/>
      <c r="BJ7" s="1800" t="s">
        <v>2096</v>
      </c>
      <c r="BK7" s="2024"/>
      <c r="BL7" s="2002" t="s">
        <v>2097</v>
      </c>
      <c r="BM7" s="2026" t="s">
        <v>2098</v>
      </c>
      <c r="BN7" s="2002" t="s">
        <v>2099</v>
      </c>
      <c r="BO7" s="2002" t="s">
        <v>2100</v>
      </c>
      <c r="BP7" s="2002" t="s">
        <v>2101</v>
      </c>
      <c r="BQ7" s="1801"/>
      <c r="BR7" s="2025"/>
      <c r="BS7" s="2002" t="s">
        <v>2102</v>
      </c>
      <c r="BT7" s="2002" t="s">
        <v>2103</v>
      </c>
      <c r="BU7" s="2002" t="s">
        <v>2104</v>
      </c>
      <c r="BV7" s="2002" t="s">
        <v>2105</v>
      </c>
      <c r="BW7" s="2007"/>
      <c r="BX7" s="2002" t="s">
        <v>2106</v>
      </c>
      <c r="BY7" s="1417" t="s">
        <v>6</v>
      </c>
      <c r="BZ7" s="1417"/>
      <c r="CA7" s="1417"/>
      <c r="CB7" s="1417"/>
      <c r="CC7" s="2002" t="s">
        <v>2107</v>
      </c>
      <c r="CD7" s="2002" t="s">
        <v>2108</v>
      </c>
      <c r="CE7" s="2002" t="s">
        <v>2109</v>
      </c>
      <c r="CF7" s="2002" t="s">
        <v>2110</v>
      </c>
      <c r="CG7" s="2002" t="s">
        <v>2111</v>
      </c>
      <c r="CH7" s="2002" t="s">
        <v>2112</v>
      </c>
      <c r="CI7" s="2002" t="s">
        <v>2113</v>
      </c>
      <c r="CJ7" s="2002" t="s">
        <v>2114</v>
      </c>
    </row>
    <row r="8" spans="1:88" s="292" customFormat="1" ht="16.5" customHeight="1">
      <c r="A8" s="1803"/>
      <c r="B8" s="1801"/>
      <c r="C8" s="1803"/>
      <c r="D8" s="2007"/>
      <c r="E8" s="1801"/>
      <c r="F8" s="2017"/>
      <c r="G8" s="2018"/>
      <c r="H8" s="2019"/>
      <c r="I8" s="2002"/>
      <c r="J8" s="2017"/>
      <c r="K8" s="2021"/>
      <c r="L8" s="2021"/>
      <c r="M8" s="2021"/>
      <c r="N8" s="2021"/>
      <c r="O8" s="2018"/>
      <c r="P8" s="2002"/>
      <c r="Q8" s="2002"/>
      <c r="R8" s="2002" t="s">
        <v>2115</v>
      </c>
      <c r="S8" s="476" t="s">
        <v>6</v>
      </c>
      <c r="T8" s="2022" t="s">
        <v>2116</v>
      </c>
      <c r="U8" s="2002" t="s">
        <v>2117</v>
      </c>
      <c r="V8" s="1801"/>
      <c r="W8" s="1801"/>
      <c r="X8" s="2007"/>
      <c r="Y8" s="1801"/>
      <c r="Z8" s="2009" t="s">
        <v>2118</v>
      </c>
      <c r="AA8" s="2009" t="s">
        <v>2119</v>
      </c>
      <c r="AB8" s="1801"/>
      <c r="AC8" s="2002" t="s">
        <v>2120</v>
      </c>
      <c r="AD8" s="2002" t="s">
        <v>2121</v>
      </c>
      <c r="AE8" s="2002" t="s">
        <v>2122</v>
      </c>
      <c r="AF8" s="2002" t="s">
        <v>2123</v>
      </c>
      <c r="AG8" s="2002" t="s">
        <v>2124</v>
      </c>
      <c r="AH8" s="2002" t="s">
        <v>2125</v>
      </c>
      <c r="AI8" s="2002"/>
      <c r="AJ8" s="2002"/>
      <c r="AK8" s="2002" t="s">
        <v>2126</v>
      </c>
      <c r="AL8" s="2002" t="s">
        <v>2127</v>
      </c>
      <c r="AM8" s="2002" t="s">
        <v>2128</v>
      </c>
      <c r="AN8" s="2002"/>
      <c r="AO8" s="2002" t="s">
        <v>2129</v>
      </c>
      <c r="AP8" s="2002" t="s">
        <v>2130</v>
      </c>
      <c r="AQ8" s="1801"/>
      <c r="AR8" s="2004"/>
      <c r="AS8" s="2002"/>
      <c r="AT8" s="2002" t="s">
        <v>2131</v>
      </c>
      <c r="AU8" s="2002" t="s">
        <v>2132</v>
      </c>
      <c r="AV8" s="2002" t="s">
        <v>2133</v>
      </c>
      <c r="AW8" s="2002" t="s">
        <v>2134</v>
      </c>
      <c r="AX8" s="2002"/>
      <c r="AY8" s="2002" t="s">
        <v>2135</v>
      </c>
      <c r="AZ8" s="2002" t="s">
        <v>2136</v>
      </c>
      <c r="BA8" s="2002"/>
      <c r="BB8" s="2002" t="s">
        <v>2137</v>
      </c>
      <c r="BC8" s="2002" t="s">
        <v>2138</v>
      </c>
      <c r="BD8" s="2002"/>
      <c r="BE8" s="2002" t="s">
        <v>2139</v>
      </c>
      <c r="BF8" s="2002" t="s">
        <v>2140</v>
      </c>
      <c r="BG8" s="2002" t="s">
        <v>2141</v>
      </c>
      <c r="BH8" s="2002" t="s">
        <v>2142</v>
      </c>
      <c r="BI8" s="2002" t="s">
        <v>2143</v>
      </c>
      <c r="BJ8" s="1801"/>
      <c r="BK8" s="2024"/>
      <c r="BL8" s="2002"/>
      <c r="BM8" s="2026"/>
      <c r="BN8" s="2002"/>
      <c r="BO8" s="2002"/>
      <c r="BP8" s="2002"/>
      <c r="BQ8" s="1801"/>
      <c r="BR8" s="2025"/>
      <c r="BS8" s="2002"/>
      <c r="BT8" s="2002"/>
      <c r="BU8" s="2002"/>
      <c r="BV8" s="2002"/>
      <c r="BW8" s="2007"/>
      <c r="BX8" s="2002"/>
      <c r="BY8" s="1417"/>
      <c r="BZ8" s="1417"/>
      <c r="CA8" s="1417"/>
      <c r="CB8" s="1417"/>
      <c r="CC8" s="2002"/>
      <c r="CD8" s="2002"/>
      <c r="CE8" s="2002"/>
      <c r="CF8" s="2002"/>
      <c r="CG8" s="2002"/>
      <c r="CH8" s="2002"/>
      <c r="CI8" s="2002"/>
      <c r="CJ8" s="2002"/>
    </row>
    <row r="9" spans="1:88" s="292" customFormat="1" ht="128.25" customHeight="1">
      <c r="A9" s="1788"/>
      <c r="B9" s="1802"/>
      <c r="C9" s="1788"/>
      <c r="D9" s="2008"/>
      <c r="E9" s="1802"/>
      <c r="F9" s="1139" t="s">
        <v>2144</v>
      </c>
      <c r="G9" s="1139" t="s">
        <v>2145</v>
      </c>
      <c r="H9" s="2019"/>
      <c r="I9" s="2002"/>
      <c r="J9" s="477" t="s">
        <v>2146</v>
      </c>
      <c r="K9" s="477" t="s">
        <v>2147</v>
      </c>
      <c r="L9" s="477" t="s">
        <v>2148</v>
      </c>
      <c r="M9" s="477" t="s">
        <v>2149</v>
      </c>
      <c r="N9" s="477" t="s">
        <v>2150</v>
      </c>
      <c r="O9" s="477" t="s">
        <v>2151</v>
      </c>
      <c r="P9" s="2002"/>
      <c r="Q9" s="2002"/>
      <c r="R9" s="2002"/>
      <c r="S9" s="477" t="s">
        <v>2152</v>
      </c>
      <c r="T9" s="2023"/>
      <c r="U9" s="2002"/>
      <c r="V9" s="1802"/>
      <c r="W9" s="1802"/>
      <c r="X9" s="2008"/>
      <c r="Y9" s="1802"/>
      <c r="Z9" s="2009"/>
      <c r="AA9" s="2009"/>
      <c r="AB9" s="1802"/>
      <c r="AC9" s="2002"/>
      <c r="AD9" s="2002"/>
      <c r="AE9" s="2002"/>
      <c r="AF9" s="2002"/>
      <c r="AG9" s="2002"/>
      <c r="AH9" s="2002"/>
      <c r="AI9" s="2002"/>
      <c r="AJ9" s="2002"/>
      <c r="AK9" s="2002"/>
      <c r="AL9" s="2002"/>
      <c r="AM9" s="2002"/>
      <c r="AN9" s="2002"/>
      <c r="AO9" s="2002"/>
      <c r="AP9" s="2002"/>
      <c r="AQ9" s="1802"/>
      <c r="AR9" s="2005"/>
      <c r="AS9" s="2002"/>
      <c r="AT9" s="2002"/>
      <c r="AU9" s="2002"/>
      <c r="AV9" s="2002"/>
      <c r="AW9" s="2002"/>
      <c r="AX9" s="2002"/>
      <c r="AY9" s="2002"/>
      <c r="AZ9" s="2002"/>
      <c r="BA9" s="2002"/>
      <c r="BB9" s="2002"/>
      <c r="BC9" s="2002"/>
      <c r="BD9" s="2002"/>
      <c r="BE9" s="2002"/>
      <c r="BF9" s="2002"/>
      <c r="BG9" s="2002"/>
      <c r="BH9" s="2002"/>
      <c r="BI9" s="2002"/>
      <c r="BJ9" s="1802"/>
      <c r="BK9" s="2024"/>
      <c r="BL9" s="2002"/>
      <c r="BM9" s="2026"/>
      <c r="BN9" s="2002"/>
      <c r="BO9" s="2002"/>
      <c r="BP9" s="2002"/>
      <c r="BQ9" s="1801"/>
      <c r="BR9" s="2025"/>
      <c r="BS9" s="2002"/>
      <c r="BT9" s="2002"/>
      <c r="BU9" s="2002"/>
      <c r="BV9" s="2002"/>
      <c r="BW9" s="2008"/>
      <c r="BX9" s="2002"/>
      <c r="BY9" s="477" t="s">
        <v>2153</v>
      </c>
      <c r="BZ9" s="477" t="s">
        <v>2154</v>
      </c>
      <c r="CA9" s="477" t="s">
        <v>2155</v>
      </c>
      <c r="CB9" s="477" t="s">
        <v>2156</v>
      </c>
      <c r="CC9" s="2002"/>
      <c r="CD9" s="2002"/>
      <c r="CE9" s="2002"/>
      <c r="CF9" s="2002"/>
      <c r="CG9" s="2002"/>
      <c r="CH9" s="2002"/>
      <c r="CI9" s="2002"/>
      <c r="CJ9" s="2002"/>
    </row>
    <row r="10" spans="1:88" s="292" customFormat="1" ht="23.25" customHeight="1">
      <c r="A10" s="1120">
        <v>1</v>
      </c>
      <c r="B10" s="1126" t="s">
        <v>280</v>
      </c>
      <c r="C10" s="476">
        <f>+D10+X10+AR10+BK10+BR10+BW10</f>
        <v>623705.00000000012</v>
      </c>
      <c r="D10" s="476">
        <f>+Q10+P10+I10+H10+E10</f>
        <v>488380.5</v>
      </c>
      <c r="E10" s="476">
        <f>+F10+G10</f>
        <v>457302.4</v>
      </c>
      <c r="F10" s="588">
        <v>195907.7</v>
      </c>
      <c r="G10" s="588">
        <v>261394.7</v>
      </c>
      <c r="H10" s="476">
        <v>28943.3</v>
      </c>
      <c r="I10" s="1127">
        <f t="shared" ref="I10:I23" si="0">+O10+N10+M10+L10+K10+J10</f>
        <v>1573.2</v>
      </c>
      <c r="J10" s="588">
        <v>1554.9</v>
      </c>
      <c r="K10" s="588">
        <v>18.3</v>
      </c>
      <c r="L10" s="588">
        <v>0</v>
      </c>
      <c r="M10" s="588">
        <v>0</v>
      </c>
      <c r="N10" s="588"/>
      <c r="O10" s="588"/>
      <c r="P10" s="476">
        <v>300</v>
      </c>
      <c r="Q10" s="588">
        <f t="shared" ref="Q10:Q23" si="1">R10+S10+T10+U10+V10</f>
        <v>261.60000000000002</v>
      </c>
      <c r="R10" s="588">
        <v>192.6</v>
      </c>
      <c r="S10" s="1128"/>
      <c r="T10" s="1128"/>
      <c r="U10" s="588">
        <v>69</v>
      </c>
      <c r="V10" s="588">
        <v>0</v>
      </c>
      <c r="W10" s="1126" t="s">
        <v>280</v>
      </c>
      <c r="X10" s="476">
        <f>+AN10+AJ10+AI10+AB10+Y10</f>
        <v>28054.7</v>
      </c>
      <c r="Y10" s="476">
        <f>+AA10+Z10</f>
        <v>7.4</v>
      </c>
      <c r="Z10" s="588">
        <v>7.4</v>
      </c>
      <c r="AA10" s="588"/>
      <c r="AB10" s="476">
        <f>AC10+AD10+AE10+AF10+AG10+AH10</f>
        <v>2782.3</v>
      </c>
      <c r="AC10" s="588">
        <v>1</v>
      </c>
      <c r="AD10" s="588">
        <v>0</v>
      </c>
      <c r="AE10" s="588"/>
      <c r="AF10" s="588">
        <v>11</v>
      </c>
      <c r="AG10" s="588">
        <v>7.5</v>
      </c>
      <c r="AH10" s="588">
        <v>2762.8</v>
      </c>
      <c r="AI10" s="476">
        <v>2.2999999999999998</v>
      </c>
      <c r="AJ10" s="476">
        <f>+AM10+AL10+AK10</f>
        <v>25114.2</v>
      </c>
      <c r="AK10" s="588">
        <v>25015.5</v>
      </c>
      <c r="AL10" s="588">
        <v>0.3</v>
      </c>
      <c r="AM10" s="588">
        <v>98.4</v>
      </c>
      <c r="AN10" s="476">
        <f t="shared" ref="AN10:AN24" si="2">+AO10+AP10</f>
        <v>148.5</v>
      </c>
      <c r="AO10" s="588">
        <v>141.5</v>
      </c>
      <c r="AP10" s="588">
        <v>7</v>
      </c>
      <c r="AQ10" s="1126" t="s">
        <v>280</v>
      </c>
      <c r="AR10" s="476">
        <f>+AS10+AX10+BA10+BD10</f>
        <v>4638.4000000000005</v>
      </c>
      <c r="AS10" s="476">
        <f>+AT10+AU10+AV10+AW10</f>
        <v>4296.2</v>
      </c>
      <c r="AT10" s="588">
        <v>0</v>
      </c>
      <c r="AU10" s="588">
        <v>4296.2</v>
      </c>
      <c r="AV10" s="588"/>
      <c r="AW10" s="588">
        <v>0</v>
      </c>
      <c r="AX10" s="476">
        <f>AY10+AZ10</f>
        <v>24.6</v>
      </c>
      <c r="AY10" s="588">
        <v>24.6</v>
      </c>
      <c r="AZ10" s="588"/>
      <c r="BA10" s="476">
        <f>+BB10+BC10</f>
        <v>0</v>
      </c>
      <c r="BB10" s="588"/>
      <c r="BC10" s="588">
        <v>0</v>
      </c>
      <c r="BD10" s="476">
        <f>+BE10+BF10+BG10+BH10+BI10</f>
        <v>317.59999999999997</v>
      </c>
      <c r="BE10" s="588">
        <v>53.9</v>
      </c>
      <c r="BF10" s="588">
        <v>263.7</v>
      </c>
      <c r="BG10" s="588"/>
      <c r="BH10" s="588"/>
      <c r="BI10" s="588">
        <v>0</v>
      </c>
      <c r="BJ10" s="476"/>
      <c r="BK10" s="476">
        <f t="shared" ref="BK10:BK23" si="3">+BL10+BM10+BN10+BO10+BP10</f>
        <v>21585.5</v>
      </c>
      <c r="BL10" s="588">
        <v>12276.7</v>
      </c>
      <c r="BM10" s="588">
        <v>392.6</v>
      </c>
      <c r="BN10" s="588"/>
      <c r="BO10" s="588">
        <v>8916.2000000000007</v>
      </c>
      <c r="BP10" s="588">
        <v>0</v>
      </c>
      <c r="BQ10" s="1140" t="s">
        <v>280</v>
      </c>
      <c r="BR10" s="476">
        <f t="shared" ref="BR10:BR24" si="4">BS10+BT10+BU10+BV10</f>
        <v>2248.8000000000002</v>
      </c>
      <c r="BS10" s="476">
        <v>870.2</v>
      </c>
      <c r="BT10" s="476">
        <v>1378.6</v>
      </c>
      <c r="BU10" s="476"/>
      <c r="BV10" s="476"/>
      <c r="BW10" s="476">
        <f t="shared" ref="BW10:BW24" si="5">BX10+CC10+CD10+CE10+CF10+CG10+CH10+CI10+CJ10</f>
        <v>78797.100000000006</v>
      </c>
      <c r="BX10" s="476">
        <f>BY10+BZ10+CA10+CB10</f>
        <v>38293</v>
      </c>
      <c r="BY10" s="476">
        <v>0</v>
      </c>
      <c r="BZ10" s="476">
        <v>0</v>
      </c>
      <c r="CA10" s="476">
        <v>38293</v>
      </c>
      <c r="CB10" s="476"/>
      <c r="CC10" s="476">
        <v>40500</v>
      </c>
      <c r="CD10" s="476">
        <v>0</v>
      </c>
      <c r="CE10" s="476"/>
      <c r="CF10" s="476">
        <v>4.0999999999999996</v>
      </c>
      <c r="CG10" s="476"/>
      <c r="CH10" s="476"/>
      <c r="CI10" s="476"/>
      <c r="CJ10" s="476"/>
    </row>
    <row r="11" spans="1:88" s="292" customFormat="1" ht="23.25" customHeight="1">
      <c r="A11" s="1120">
        <v>2</v>
      </c>
      <c r="B11" s="1126" t="s">
        <v>281</v>
      </c>
      <c r="C11" s="476">
        <f t="shared" ref="C11:C23" si="6">+D11+X11+AR11+BK11+BR11+BW11</f>
        <v>832079.99999999988</v>
      </c>
      <c r="D11" s="476">
        <f t="shared" ref="D11:D23" si="7">+Q11+P11+I11+H11+E11</f>
        <v>739143.78999999992</v>
      </c>
      <c r="E11" s="476">
        <f t="shared" ref="E11:E23" si="8">+F11+G11</f>
        <v>644081.8899999999</v>
      </c>
      <c r="F11" s="1129">
        <v>306481.78999999998</v>
      </c>
      <c r="G11" s="588">
        <v>337600.1</v>
      </c>
      <c r="H11" s="476">
        <v>87278.8</v>
      </c>
      <c r="I11" s="1127">
        <f t="shared" si="0"/>
        <v>7203.7</v>
      </c>
      <c r="J11" s="588"/>
      <c r="K11" s="588">
        <v>25</v>
      </c>
      <c r="L11" s="588"/>
      <c r="M11" s="588">
        <v>0</v>
      </c>
      <c r="N11" s="588"/>
      <c r="O11" s="588">
        <v>7178.7</v>
      </c>
      <c r="P11" s="476">
        <v>207.9</v>
      </c>
      <c r="Q11" s="588">
        <f t="shared" si="1"/>
        <v>371.5</v>
      </c>
      <c r="R11" s="588">
        <v>371.5</v>
      </c>
      <c r="S11" s="1128"/>
      <c r="T11" s="1128"/>
      <c r="U11" s="588"/>
      <c r="V11" s="588"/>
      <c r="W11" s="1126" t="s">
        <v>281</v>
      </c>
      <c r="X11" s="476">
        <f t="shared" ref="X11:X24" si="9">+AN11+AJ11+AI11+AB11+Y11</f>
        <v>3445.0699999999997</v>
      </c>
      <c r="Y11" s="476">
        <f t="shared" ref="Y11:Y23" si="10">+AA11+Z11</f>
        <v>23.8</v>
      </c>
      <c r="Z11" s="588">
        <v>1.6</v>
      </c>
      <c r="AA11" s="588">
        <v>22.2</v>
      </c>
      <c r="AB11" s="476">
        <f t="shared" ref="AB11:AB23" si="11">AC11+AD11+AE11+AF11+AG11+AH11</f>
        <v>2229.3799999999997</v>
      </c>
      <c r="AC11" s="588">
        <v>0.4</v>
      </c>
      <c r="AD11" s="588">
        <v>0</v>
      </c>
      <c r="AE11" s="588"/>
      <c r="AF11" s="588">
        <v>3.59</v>
      </c>
      <c r="AG11" s="588">
        <v>1</v>
      </c>
      <c r="AH11" s="588">
        <v>2224.39</v>
      </c>
      <c r="AI11" s="476">
        <v>0</v>
      </c>
      <c r="AJ11" s="476">
        <f t="shared" ref="AJ11:AJ23" si="12">+AM11+AL11+AK11</f>
        <v>955.97</v>
      </c>
      <c r="AK11" s="588">
        <v>955.97</v>
      </c>
      <c r="AL11" s="588">
        <v>0</v>
      </c>
      <c r="AM11" s="588"/>
      <c r="AN11" s="476">
        <f t="shared" si="2"/>
        <v>235.92</v>
      </c>
      <c r="AO11" s="588">
        <v>235.92</v>
      </c>
      <c r="AP11" s="588">
        <v>0</v>
      </c>
      <c r="AQ11" s="1126" t="s">
        <v>281</v>
      </c>
      <c r="AR11" s="476">
        <f t="shared" ref="AR11:AR23" si="13">+AS11+AX11+BA11+BD11</f>
        <v>3036.04</v>
      </c>
      <c r="AS11" s="476">
        <f t="shared" ref="AS11:AS23" si="14">+AT11+AU11+AV11+AW11</f>
        <v>2413.6</v>
      </c>
      <c r="AT11" s="588">
        <v>2070.6999999999998</v>
      </c>
      <c r="AU11" s="588">
        <v>342.9</v>
      </c>
      <c r="AV11" s="588"/>
      <c r="AW11" s="588">
        <v>0</v>
      </c>
      <c r="AX11" s="476">
        <f t="shared" ref="AX11:AX23" si="15">AY11+AZ11</f>
        <v>214.7</v>
      </c>
      <c r="AY11" s="588">
        <v>214.7</v>
      </c>
      <c r="AZ11" s="588"/>
      <c r="BA11" s="476">
        <f t="shared" ref="BA11:BA23" si="16">+BB11+BC11</f>
        <v>0</v>
      </c>
      <c r="BB11" s="588"/>
      <c r="BC11" s="588">
        <v>0</v>
      </c>
      <c r="BD11" s="476">
        <f t="shared" ref="BD11:BD23" si="17">+BE11+BF11+BG11+BH11+BI11</f>
        <v>407.74</v>
      </c>
      <c r="BE11" s="588">
        <v>277.83999999999997</v>
      </c>
      <c r="BF11" s="588">
        <v>129.9</v>
      </c>
      <c r="BG11" s="588"/>
      <c r="BH11" s="588"/>
      <c r="BI11" s="588">
        <v>0</v>
      </c>
      <c r="BJ11" s="476"/>
      <c r="BK11" s="476">
        <f t="shared" si="3"/>
        <v>0</v>
      </c>
      <c r="BL11" s="588"/>
      <c r="BM11" s="588"/>
      <c r="BN11" s="588"/>
      <c r="BO11" s="588"/>
      <c r="BP11" s="588"/>
      <c r="BQ11" s="1126" t="s">
        <v>281</v>
      </c>
      <c r="BR11" s="476">
        <f t="shared" si="4"/>
        <v>1651</v>
      </c>
      <c r="BS11" s="476">
        <v>489.7</v>
      </c>
      <c r="BT11" s="476">
        <v>1161.3</v>
      </c>
      <c r="BU11" s="476"/>
      <c r="BV11" s="476"/>
      <c r="BW11" s="476">
        <f t="shared" si="5"/>
        <v>84804.1</v>
      </c>
      <c r="BX11" s="476">
        <f t="shared" ref="BX11:BX23" si="18">BY11+BZ11+CA11+CB11</f>
        <v>28740</v>
      </c>
      <c r="BY11" s="476">
        <v>0</v>
      </c>
      <c r="BZ11" s="476">
        <v>0</v>
      </c>
      <c r="CA11" s="476">
        <v>28740</v>
      </c>
      <c r="CB11" s="476"/>
      <c r="CC11" s="476">
        <v>41000</v>
      </c>
      <c r="CD11" s="476">
        <v>15060</v>
      </c>
      <c r="CE11" s="476"/>
      <c r="CF11" s="476">
        <v>4.0999999999999996</v>
      </c>
      <c r="CG11" s="476"/>
      <c r="CH11" s="476"/>
      <c r="CI11" s="476"/>
      <c r="CJ11" s="476"/>
    </row>
    <row r="12" spans="1:88" s="292" customFormat="1" ht="23.25" customHeight="1">
      <c r="A12" s="1130">
        <v>3</v>
      </c>
      <c r="B12" s="1131" t="s">
        <v>282</v>
      </c>
      <c r="C12" s="476">
        <f t="shared" si="6"/>
        <v>711110.99999999988</v>
      </c>
      <c r="D12" s="476">
        <f t="shared" si="7"/>
        <v>700887.2</v>
      </c>
      <c r="E12" s="476">
        <f t="shared" si="8"/>
        <v>672503.7</v>
      </c>
      <c r="F12" s="588">
        <v>455200.7</v>
      </c>
      <c r="G12" s="588">
        <v>217303</v>
      </c>
      <c r="H12" s="476">
        <v>24568.7</v>
      </c>
      <c r="I12" s="1127">
        <f t="shared" si="0"/>
        <v>3276.9</v>
      </c>
      <c r="J12" s="588"/>
      <c r="K12" s="588">
        <v>5</v>
      </c>
      <c r="L12" s="588"/>
      <c r="M12" s="588">
        <v>16</v>
      </c>
      <c r="N12" s="588"/>
      <c r="O12" s="588">
        <v>3255.9</v>
      </c>
      <c r="P12" s="476">
        <v>0</v>
      </c>
      <c r="Q12" s="588">
        <f t="shared" si="1"/>
        <v>537.9</v>
      </c>
      <c r="R12" s="588">
        <v>537.9</v>
      </c>
      <c r="S12" s="1128"/>
      <c r="T12" s="1128"/>
      <c r="U12" s="588"/>
      <c r="V12" s="588"/>
      <c r="W12" s="1131" t="s">
        <v>282</v>
      </c>
      <c r="X12" s="476">
        <f t="shared" si="9"/>
        <v>1724.2</v>
      </c>
      <c r="Y12" s="476">
        <f t="shared" si="10"/>
        <v>1.9</v>
      </c>
      <c r="Z12" s="588">
        <v>1.9</v>
      </c>
      <c r="AA12" s="588"/>
      <c r="AB12" s="476">
        <f t="shared" si="11"/>
        <v>1630.7</v>
      </c>
      <c r="AC12" s="588">
        <v>0</v>
      </c>
      <c r="AD12" s="588">
        <v>2.5</v>
      </c>
      <c r="AE12" s="588"/>
      <c r="AF12" s="588">
        <v>13.8</v>
      </c>
      <c r="AG12" s="588">
        <v>5</v>
      </c>
      <c r="AH12" s="588">
        <v>1609.4</v>
      </c>
      <c r="AI12" s="476">
        <v>60</v>
      </c>
      <c r="AJ12" s="476">
        <f t="shared" si="12"/>
        <v>0</v>
      </c>
      <c r="AK12" s="588">
        <v>0</v>
      </c>
      <c r="AL12" s="588"/>
      <c r="AM12" s="588"/>
      <c r="AN12" s="476">
        <f t="shared" si="2"/>
        <v>31.6</v>
      </c>
      <c r="AO12" s="588">
        <v>31.6</v>
      </c>
      <c r="AP12" s="588"/>
      <c r="AQ12" s="1131" t="s">
        <v>282</v>
      </c>
      <c r="AR12" s="476">
        <f t="shared" si="13"/>
        <v>4527</v>
      </c>
      <c r="AS12" s="476">
        <f t="shared" si="14"/>
        <v>3841.3</v>
      </c>
      <c r="AT12" s="588">
        <v>0</v>
      </c>
      <c r="AU12" s="588">
        <v>3841.3</v>
      </c>
      <c r="AV12" s="588"/>
      <c r="AW12" s="588">
        <v>0</v>
      </c>
      <c r="AX12" s="476">
        <f t="shared" si="15"/>
        <v>0</v>
      </c>
      <c r="AY12" s="588"/>
      <c r="AZ12" s="588"/>
      <c r="BA12" s="476">
        <f t="shared" si="16"/>
        <v>0</v>
      </c>
      <c r="BB12" s="588"/>
      <c r="BC12" s="588">
        <v>0</v>
      </c>
      <c r="BD12" s="476">
        <f t="shared" si="17"/>
        <v>685.7</v>
      </c>
      <c r="BE12" s="588">
        <v>38</v>
      </c>
      <c r="BF12" s="588">
        <v>647.70000000000005</v>
      </c>
      <c r="BG12" s="588"/>
      <c r="BH12" s="588"/>
      <c r="BI12" s="588">
        <v>0</v>
      </c>
      <c r="BJ12" s="476"/>
      <c r="BK12" s="476">
        <f t="shared" si="3"/>
        <v>0</v>
      </c>
      <c r="BL12" s="588"/>
      <c r="BM12" s="588"/>
      <c r="BN12" s="588"/>
      <c r="BO12" s="588"/>
      <c r="BP12" s="588"/>
      <c r="BQ12" s="1131" t="s">
        <v>282</v>
      </c>
      <c r="BR12" s="476">
        <f t="shared" si="4"/>
        <v>3968.5</v>
      </c>
      <c r="BS12" s="476">
        <v>1527.8</v>
      </c>
      <c r="BT12" s="476">
        <v>2440.6999999999998</v>
      </c>
      <c r="BU12" s="476"/>
      <c r="BV12" s="476"/>
      <c r="BW12" s="476">
        <f t="shared" si="5"/>
        <v>4.0999999999999996</v>
      </c>
      <c r="BX12" s="476">
        <f t="shared" si="18"/>
        <v>0</v>
      </c>
      <c r="BY12" s="476">
        <v>0</v>
      </c>
      <c r="BZ12" s="476"/>
      <c r="CA12" s="476">
        <v>0</v>
      </c>
      <c r="CB12" s="476"/>
      <c r="CC12" s="476"/>
      <c r="CD12" s="476">
        <v>0</v>
      </c>
      <c r="CE12" s="476"/>
      <c r="CF12" s="476">
        <v>4.0999999999999996</v>
      </c>
      <c r="CG12" s="476"/>
      <c r="CH12" s="476"/>
      <c r="CI12" s="476"/>
      <c r="CJ12" s="476"/>
    </row>
    <row r="13" spans="1:88" s="292" customFormat="1" ht="23.25" customHeight="1">
      <c r="A13" s="1120">
        <v>4</v>
      </c>
      <c r="B13" s="1126" t="s">
        <v>290</v>
      </c>
      <c r="C13" s="476">
        <f t="shared" si="6"/>
        <v>562278</v>
      </c>
      <c r="D13" s="476">
        <f t="shared" si="7"/>
        <v>395436.39999999997</v>
      </c>
      <c r="E13" s="476">
        <f t="shared" si="8"/>
        <v>347687.19999999995</v>
      </c>
      <c r="F13" s="588">
        <v>274893.59999999998</v>
      </c>
      <c r="G13" s="588">
        <v>72793.600000000006</v>
      </c>
      <c r="H13" s="476">
        <v>35685.1</v>
      </c>
      <c r="I13" s="1127">
        <f t="shared" si="0"/>
        <v>11729.7</v>
      </c>
      <c r="J13" s="588">
        <v>11704.2</v>
      </c>
      <c r="K13" s="588">
        <v>25.5</v>
      </c>
      <c r="L13" s="588"/>
      <c r="M13" s="588"/>
      <c r="N13" s="588"/>
      <c r="O13" s="588">
        <v>0</v>
      </c>
      <c r="P13" s="476">
        <v>0</v>
      </c>
      <c r="Q13" s="588">
        <f t="shared" si="1"/>
        <v>334.4</v>
      </c>
      <c r="R13" s="588">
        <v>334.4</v>
      </c>
      <c r="S13" s="1128"/>
      <c r="T13" s="1128"/>
      <c r="U13" s="588"/>
      <c r="V13" s="588"/>
      <c r="W13" s="1126" t="s">
        <v>290</v>
      </c>
      <c r="X13" s="476">
        <f t="shared" si="9"/>
        <v>3134.5</v>
      </c>
      <c r="Y13" s="476">
        <f t="shared" si="10"/>
        <v>10.199999999999999</v>
      </c>
      <c r="Z13" s="588">
        <v>10.199999999999999</v>
      </c>
      <c r="AA13" s="588"/>
      <c r="AB13" s="476">
        <f t="shared" si="11"/>
        <v>2785.5</v>
      </c>
      <c r="AC13" s="588">
        <v>1.2</v>
      </c>
      <c r="AD13" s="588">
        <v>1.5</v>
      </c>
      <c r="AE13" s="588"/>
      <c r="AF13" s="588">
        <v>28</v>
      </c>
      <c r="AG13" s="588">
        <v>5</v>
      </c>
      <c r="AH13" s="588">
        <v>2749.8</v>
      </c>
      <c r="AI13" s="476">
        <v>10.199999999999999</v>
      </c>
      <c r="AJ13" s="476">
        <f t="shared" si="12"/>
        <v>92</v>
      </c>
      <c r="AK13" s="588">
        <v>92</v>
      </c>
      <c r="AL13" s="588"/>
      <c r="AM13" s="588">
        <v>0</v>
      </c>
      <c r="AN13" s="476">
        <f t="shared" si="2"/>
        <v>236.6</v>
      </c>
      <c r="AO13" s="588">
        <v>69.5</v>
      </c>
      <c r="AP13" s="588">
        <v>167.1</v>
      </c>
      <c r="AQ13" s="1126" t="s">
        <v>290</v>
      </c>
      <c r="AR13" s="476">
        <f t="shared" si="13"/>
        <v>4559</v>
      </c>
      <c r="AS13" s="476">
        <f t="shared" si="14"/>
        <v>4285</v>
      </c>
      <c r="AT13" s="588">
        <v>1369.1</v>
      </c>
      <c r="AU13" s="588">
        <v>2915.9</v>
      </c>
      <c r="AV13" s="588"/>
      <c r="AW13" s="588">
        <v>0</v>
      </c>
      <c r="AX13" s="476">
        <f t="shared" si="15"/>
        <v>0</v>
      </c>
      <c r="AY13" s="588"/>
      <c r="AZ13" s="588"/>
      <c r="BA13" s="476">
        <f t="shared" si="16"/>
        <v>0</v>
      </c>
      <c r="BB13" s="588"/>
      <c r="BC13" s="588">
        <v>0</v>
      </c>
      <c r="BD13" s="476">
        <f t="shared" si="17"/>
        <v>274</v>
      </c>
      <c r="BE13" s="588">
        <v>203.5</v>
      </c>
      <c r="BF13" s="588">
        <v>70.5</v>
      </c>
      <c r="BG13" s="588"/>
      <c r="BH13" s="588"/>
      <c r="BI13" s="588">
        <v>0</v>
      </c>
      <c r="BJ13" s="476"/>
      <c r="BK13" s="476">
        <f t="shared" si="3"/>
        <v>104256</v>
      </c>
      <c r="BL13" s="476">
        <v>44611.5</v>
      </c>
      <c r="BM13" s="476">
        <v>41012.800000000003</v>
      </c>
      <c r="BN13" s="476">
        <v>0</v>
      </c>
      <c r="BO13" s="476">
        <v>18631.7</v>
      </c>
      <c r="BP13" s="588"/>
      <c r="BQ13" s="1126" t="s">
        <v>290</v>
      </c>
      <c r="BR13" s="476">
        <f t="shared" si="4"/>
        <v>2259</v>
      </c>
      <c r="BS13" s="476">
        <v>1940.3</v>
      </c>
      <c r="BT13" s="476">
        <v>318.7</v>
      </c>
      <c r="BU13" s="476"/>
      <c r="BV13" s="476"/>
      <c r="BW13" s="476">
        <f t="shared" si="5"/>
        <v>52633.1</v>
      </c>
      <c r="BX13" s="476">
        <f t="shared" si="18"/>
        <v>20579</v>
      </c>
      <c r="BY13" s="476">
        <v>0</v>
      </c>
      <c r="BZ13" s="476">
        <v>20579</v>
      </c>
      <c r="CA13" s="476"/>
      <c r="CB13" s="476"/>
      <c r="CC13" s="476">
        <v>32000</v>
      </c>
      <c r="CD13" s="476">
        <v>50</v>
      </c>
      <c r="CE13" s="476"/>
      <c r="CF13" s="476">
        <v>4.0999999999999996</v>
      </c>
      <c r="CG13" s="476"/>
      <c r="CH13" s="476"/>
      <c r="CI13" s="476"/>
      <c r="CJ13" s="476"/>
    </row>
    <row r="14" spans="1:88" s="338" customFormat="1" ht="23.25" customHeight="1">
      <c r="A14" s="1120">
        <v>5</v>
      </c>
      <c r="B14" s="1126" t="s">
        <v>283</v>
      </c>
      <c r="C14" s="476">
        <f t="shared" si="6"/>
        <v>525157.99999999988</v>
      </c>
      <c r="D14" s="476">
        <f t="shared" si="7"/>
        <v>403600.6</v>
      </c>
      <c r="E14" s="476">
        <f t="shared" si="8"/>
        <v>388669.6</v>
      </c>
      <c r="F14" s="588">
        <v>160173.6</v>
      </c>
      <c r="G14" s="588">
        <v>228496</v>
      </c>
      <c r="H14" s="476">
        <v>9775.2000000000007</v>
      </c>
      <c r="I14" s="1127">
        <f t="shared" si="0"/>
        <v>0</v>
      </c>
      <c r="J14" s="588"/>
      <c r="K14" s="588">
        <v>0</v>
      </c>
      <c r="L14" s="588"/>
      <c r="M14" s="588"/>
      <c r="N14" s="588"/>
      <c r="O14" s="588"/>
      <c r="P14" s="476">
        <v>4958.6000000000004</v>
      </c>
      <c r="Q14" s="588">
        <f t="shared" si="1"/>
        <v>197.2</v>
      </c>
      <c r="R14" s="588">
        <v>197.2</v>
      </c>
      <c r="S14" s="1128"/>
      <c r="T14" s="1128"/>
      <c r="U14" s="588"/>
      <c r="V14" s="588"/>
      <c r="W14" s="1126" t="s">
        <v>283</v>
      </c>
      <c r="X14" s="476">
        <f t="shared" si="9"/>
        <v>3026</v>
      </c>
      <c r="Y14" s="476">
        <f t="shared" si="10"/>
        <v>3.3</v>
      </c>
      <c r="Z14" s="588">
        <v>3.3</v>
      </c>
      <c r="AA14" s="588"/>
      <c r="AB14" s="476">
        <f t="shared" si="11"/>
        <v>1841.3999999999999</v>
      </c>
      <c r="AC14" s="588">
        <v>0</v>
      </c>
      <c r="AD14" s="588">
        <v>0.5</v>
      </c>
      <c r="AE14" s="588"/>
      <c r="AF14" s="588">
        <v>2.4</v>
      </c>
      <c r="AG14" s="588">
        <v>44.9</v>
      </c>
      <c r="AH14" s="588">
        <v>1793.6</v>
      </c>
      <c r="AI14" s="476">
        <v>0</v>
      </c>
      <c r="AJ14" s="476">
        <f t="shared" si="12"/>
        <v>1118.8</v>
      </c>
      <c r="AK14" s="588">
        <v>1118.8</v>
      </c>
      <c r="AL14" s="588"/>
      <c r="AM14" s="588"/>
      <c r="AN14" s="476">
        <f t="shared" si="2"/>
        <v>62.5</v>
      </c>
      <c r="AO14" s="588">
        <v>62.5</v>
      </c>
      <c r="AP14" s="588"/>
      <c r="AQ14" s="1126" t="s">
        <v>283</v>
      </c>
      <c r="AR14" s="476">
        <f t="shared" si="13"/>
        <v>881.09999999999991</v>
      </c>
      <c r="AS14" s="476">
        <f t="shared" si="14"/>
        <v>425.4</v>
      </c>
      <c r="AT14" s="588">
        <v>0</v>
      </c>
      <c r="AU14" s="588"/>
      <c r="AV14" s="588"/>
      <c r="AW14" s="588">
        <v>425.4</v>
      </c>
      <c r="AX14" s="476">
        <f t="shared" si="15"/>
        <v>323.39999999999998</v>
      </c>
      <c r="AY14" s="588">
        <v>323.39999999999998</v>
      </c>
      <c r="AZ14" s="588"/>
      <c r="BA14" s="476">
        <f t="shared" si="16"/>
        <v>0</v>
      </c>
      <c r="BB14" s="588"/>
      <c r="BC14" s="588">
        <v>0</v>
      </c>
      <c r="BD14" s="476">
        <f t="shared" si="17"/>
        <v>132.30000000000001</v>
      </c>
      <c r="BE14" s="588">
        <v>78.8</v>
      </c>
      <c r="BF14" s="588">
        <v>53.5</v>
      </c>
      <c r="BG14" s="588"/>
      <c r="BH14" s="588"/>
      <c r="BI14" s="588">
        <v>0</v>
      </c>
      <c r="BJ14" s="476"/>
      <c r="BK14" s="476">
        <f t="shared" si="3"/>
        <v>406.6</v>
      </c>
      <c r="BL14" s="588">
        <v>177.8</v>
      </c>
      <c r="BM14" s="588"/>
      <c r="BN14" s="588"/>
      <c r="BO14" s="588">
        <v>228.8</v>
      </c>
      <c r="BP14" s="588"/>
      <c r="BQ14" s="1126" t="s">
        <v>283</v>
      </c>
      <c r="BR14" s="476">
        <f t="shared" si="4"/>
        <v>1243.5999999999999</v>
      </c>
      <c r="BS14" s="476">
        <v>83.6</v>
      </c>
      <c r="BT14" s="476">
        <v>1160</v>
      </c>
      <c r="BU14" s="476"/>
      <c r="BV14" s="476"/>
      <c r="BW14" s="476">
        <f t="shared" si="5"/>
        <v>116000.1</v>
      </c>
      <c r="BX14" s="476">
        <f t="shared" si="18"/>
        <v>115996</v>
      </c>
      <c r="BY14" s="476">
        <v>0</v>
      </c>
      <c r="BZ14" s="476">
        <v>0</v>
      </c>
      <c r="CA14" s="476">
        <v>115996</v>
      </c>
      <c r="CB14" s="476"/>
      <c r="CC14" s="476">
        <v>0</v>
      </c>
      <c r="CD14" s="476">
        <v>0</v>
      </c>
      <c r="CE14" s="476"/>
      <c r="CF14" s="476">
        <v>4.0999999999999996</v>
      </c>
      <c r="CG14" s="476"/>
      <c r="CH14" s="476"/>
      <c r="CI14" s="476"/>
      <c r="CJ14" s="476"/>
    </row>
    <row r="15" spans="1:88" s="292" customFormat="1" ht="23.25" customHeight="1">
      <c r="A15" s="1120">
        <v>6</v>
      </c>
      <c r="B15" s="1126" t="s">
        <v>284</v>
      </c>
      <c r="C15" s="476">
        <f t="shared" si="6"/>
        <v>871315.00000000012</v>
      </c>
      <c r="D15" s="476">
        <f t="shared" si="7"/>
        <v>786685.40000000014</v>
      </c>
      <c r="E15" s="476">
        <f t="shared" si="8"/>
        <v>758783.10000000009</v>
      </c>
      <c r="F15" s="588">
        <v>285877.2</v>
      </c>
      <c r="G15" s="588">
        <v>472905.9</v>
      </c>
      <c r="H15" s="476">
        <v>26129.7</v>
      </c>
      <c r="I15" s="1127">
        <f t="shared" si="0"/>
        <v>19.399999999999999</v>
      </c>
      <c r="J15" s="588"/>
      <c r="K15" s="588">
        <v>19.399999999999999</v>
      </c>
      <c r="L15" s="588"/>
      <c r="M15" s="588"/>
      <c r="N15" s="588"/>
      <c r="O15" s="588">
        <v>0</v>
      </c>
      <c r="P15" s="476">
        <v>1240.2</v>
      </c>
      <c r="Q15" s="588">
        <f t="shared" si="1"/>
        <v>513</v>
      </c>
      <c r="R15" s="588">
        <v>513</v>
      </c>
      <c r="S15" s="588">
        <v>0</v>
      </c>
      <c r="T15" s="1128"/>
      <c r="U15" s="588"/>
      <c r="V15" s="588"/>
      <c r="W15" s="1126" t="s">
        <v>284</v>
      </c>
      <c r="X15" s="476">
        <f t="shared" si="9"/>
        <v>8478.1</v>
      </c>
      <c r="Y15" s="476">
        <f t="shared" si="10"/>
        <v>20.6</v>
      </c>
      <c r="Z15" s="588">
        <v>17.600000000000001</v>
      </c>
      <c r="AA15" s="588">
        <v>3</v>
      </c>
      <c r="AB15" s="476">
        <f t="shared" si="11"/>
        <v>2620</v>
      </c>
      <c r="AC15" s="588">
        <v>1.4</v>
      </c>
      <c r="AD15" s="588">
        <v>3.9</v>
      </c>
      <c r="AE15" s="588"/>
      <c r="AF15" s="588">
        <v>4.4000000000000004</v>
      </c>
      <c r="AG15" s="588">
        <v>31.2</v>
      </c>
      <c r="AH15" s="588">
        <v>2579.1</v>
      </c>
      <c r="AI15" s="476">
        <v>0</v>
      </c>
      <c r="AJ15" s="476">
        <f t="shared" si="12"/>
        <v>5532.8</v>
      </c>
      <c r="AK15" s="588">
        <v>5532.8</v>
      </c>
      <c r="AL15" s="588">
        <v>0</v>
      </c>
      <c r="AM15" s="588">
        <v>0</v>
      </c>
      <c r="AN15" s="476">
        <f t="shared" si="2"/>
        <v>304.7</v>
      </c>
      <c r="AO15" s="588">
        <v>304.7</v>
      </c>
      <c r="AP15" s="588"/>
      <c r="AQ15" s="1126" t="s">
        <v>284</v>
      </c>
      <c r="AR15" s="476">
        <f t="shared" si="13"/>
        <v>1663.6999999999998</v>
      </c>
      <c r="AS15" s="476">
        <f t="shared" si="14"/>
        <v>1204.8</v>
      </c>
      <c r="AT15" s="588">
        <v>754.9</v>
      </c>
      <c r="AU15" s="588">
        <v>449.9</v>
      </c>
      <c r="AV15" s="588">
        <v>0</v>
      </c>
      <c r="AW15" s="588">
        <v>0</v>
      </c>
      <c r="AX15" s="476">
        <f t="shared" si="15"/>
        <v>161.5</v>
      </c>
      <c r="AY15" s="588">
        <v>161.5</v>
      </c>
      <c r="AZ15" s="588"/>
      <c r="BA15" s="476">
        <f t="shared" si="16"/>
        <v>0</v>
      </c>
      <c r="BB15" s="588"/>
      <c r="BC15" s="588">
        <v>0</v>
      </c>
      <c r="BD15" s="476">
        <f t="shared" si="17"/>
        <v>297.39999999999998</v>
      </c>
      <c r="BE15" s="588">
        <v>128.6</v>
      </c>
      <c r="BF15" s="588">
        <v>168.8</v>
      </c>
      <c r="BG15" s="588"/>
      <c r="BH15" s="588"/>
      <c r="BI15" s="588">
        <v>0</v>
      </c>
      <c r="BJ15" s="476"/>
      <c r="BK15" s="476">
        <f t="shared" si="3"/>
        <v>9061.4000000000015</v>
      </c>
      <c r="BL15" s="588">
        <v>3531</v>
      </c>
      <c r="BM15" s="588">
        <v>737.8</v>
      </c>
      <c r="BN15" s="588">
        <v>0</v>
      </c>
      <c r="BO15" s="588">
        <v>4792.6000000000004</v>
      </c>
      <c r="BP15" s="588"/>
      <c r="BQ15" s="1126" t="s">
        <v>284</v>
      </c>
      <c r="BR15" s="476">
        <f t="shared" si="4"/>
        <v>4022.3</v>
      </c>
      <c r="BS15" s="476">
        <v>781.5</v>
      </c>
      <c r="BT15" s="476">
        <v>3240.8</v>
      </c>
      <c r="BU15" s="476">
        <v>0</v>
      </c>
      <c r="BV15" s="476"/>
      <c r="BW15" s="476">
        <f t="shared" si="5"/>
        <v>61404.1</v>
      </c>
      <c r="BX15" s="476">
        <f t="shared" si="18"/>
        <v>10400</v>
      </c>
      <c r="BY15" s="476">
        <v>550</v>
      </c>
      <c r="BZ15" s="476">
        <v>0</v>
      </c>
      <c r="CA15" s="476">
        <v>9850</v>
      </c>
      <c r="CB15" s="476"/>
      <c r="CC15" s="476">
        <v>51000</v>
      </c>
      <c r="CD15" s="476">
        <v>0</v>
      </c>
      <c r="CE15" s="476"/>
      <c r="CF15" s="476">
        <v>4.0999999999999996</v>
      </c>
      <c r="CG15" s="476"/>
      <c r="CH15" s="476"/>
      <c r="CI15" s="476"/>
      <c r="CJ15" s="476"/>
    </row>
    <row r="16" spans="1:88" s="292" customFormat="1" ht="23.25" customHeight="1">
      <c r="A16" s="1120">
        <v>7</v>
      </c>
      <c r="B16" s="1126" t="s">
        <v>285</v>
      </c>
      <c r="C16" s="476">
        <f t="shared" si="6"/>
        <v>2283133.0000000005</v>
      </c>
      <c r="D16" s="476">
        <f t="shared" si="7"/>
        <v>2121638.4</v>
      </c>
      <c r="E16" s="476">
        <f t="shared" si="8"/>
        <v>2037200.7999999998</v>
      </c>
      <c r="F16" s="1132">
        <v>832147.9</v>
      </c>
      <c r="G16" s="1132">
        <v>1205052.8999999999</v>
      </c>
      <c r="H16" s="1127">
        <v>84090</v>
      </c>
      <c r="I16" s="1127">
        <f t="shared" si="0"/>
        <v>4</v>
      </c>
      <c r="J16" s="1132"/>
      <c r="K16" s="1132">
        <v>4</v>
      </c>
      <c r="L16" s="1132"/>
      <c r="M16" s="1132"/>
      <c r="N16" s="1132"/>
      <c r="O16" s="1132">
        <v>0</v>
      </c>
      <c r="P16" s="1127">
        <v>0</v>
      </c>
      <c r="Q16" s="588">
        <f t="shared" si="1"/>
        <v>343.6</v>
      </c>
      <c r="R16" s="1132">
        <v>343.6</v>
      </c>
      <c r="S16" s="1133"/>
      <c r="T16" s="1133"/>
      <c r="U16" s="1132"/>
      <c r="V16" s="1132"/>
      <c r="W16" s="1126" t="s">
        <v>285</v>
      </c>
      <c r="X16" s="1127">
        <f t="shared" si="9"/>
        <v>2500.1000000000004</v>
      </c>
      <c r="Y16" s="476">
        <f t="shared" si="10"/>
        <v>19.3</v>
      </c>
      <c r="Z16" s="1132">
        <v>6.8</v>
      </c>
      <c r="AA16" s="1132">
        <v>12.5</v>
      </c>
      <c r="AB16" s="476">
        <f t="shared" si="11"/>
        <v>2436</v>
      </c>
      <c r="AC16" s="1132">
        <v>2.6</v>
      </c>
      <c r="AD16" s="1132">
        <v>29</v>
      </c>
      <c r="AE16" s="1132"/>
      <c r="AF16" s="1132">
        <v>6</v>
      </c>
      <c r="AG16" s="1132">
        <v>5.5</v>
      </c>
      <c r="AH16" s="1132">
        <v>2392.9</v>
      </c>
      <c r="AI16" s="1127">
        <v>0</v>
      </c>
      <c r="AJ16" s="476">
        <f t="shared" si="12"/>
        <v>7.3</v>
      </c>
      <c r="AK16" s="1132">
        <v>7.3</v>
      </c>
      <c r="AL16" s="1132"/>
      <c r="AM16" s="1132"/>
      <c r="AN16" s="476">
        <f t="shared" si="2"/>
        <v>37.5</v>
      </c>
      <c r="AO16" s="1132">
        <v>37.5</v>
      </c>
      <c r="AP16" s="1132"/>
      <c r="AQ16" s="1126" t="s">
        <v>285</v>
      </c>
      <c r="AR16" s="476">
        <f t="shared" si="13"/>
        <v>954.2</v>
      </c>
      <c r="AS16" s="476">
        <f t="shared" si="14"/>
        <v>866.2</v>
      </c>
      <c r="AT16" s="1132">
        <v>0</v>
      </c>
      <c r="AU16" s="1132">
        <v>866.2</v>
      </c>
      <c r="AV16" s="1132">
        <v>0</v>
      </c>
      <c r="AW16" s="1132">
        <v>0</v>
      </c>
      <c r="AX16" s="476">
        <f t="shared" si="15"/>
        <v>0</v>
      </c>
      <c r="AY16" s="1132"/>
      <c r="AZ16" s="1132"/>
      <c r="BA16" s="476">
        <f t="shared" si="16"/>
        <v>0</v>
      </c>
      <c r="BB16" s="1132"/>
      <c r="BC16" s="1132">
        <v>0</v>
      </c>
      <c r="BD16" s="476">
        <f t="shared" si="17"/>
        <v>88</v>
      </c>
      <c r="BE16" s="1132">
        <v>48.8</v>
      </c>
      <c r="BF16" s="1132">
        <v>39.200000000000003</v>
      </c>
      <c r="BG16" s="1132"/>
      <c r="BH16" s="1132"/>
      <c r="BI16" s="1132">
        <v>0</v>
      </c>
      <c r="BJ16" s="1127"/>
      <c r="BK16" s="476">
        <f t="shared" si="3"/>
        <v>0</v>
      </c>
      <c r="BL16" s="1132"/>
      <c r="BM16" s="1132"/>
      <c r="BN16" s="1132"/>
      <c r="BO16" s="1132"/>
      <c r="BP16" s="1132"/>
      <c r="BQ16" s="1126" t="s">
        <v>285</v>
      </c>
      <c r="BR16" s="476">
        <f t="shared" si="4"/>
        <v>5384.2</v>
      </c>
      <c r="BS16" s="1127">
        <v>61.512</v>
      </c>
      <c r="BT16" s="1127">
        <v>5322.6880000000001</v>
      </c>
      <c r="BU16" s="1127"/>
      <c r="BV16" s="1127"/>
      <c r="BW16" s="476">
        <f t="shared" si="5"/>
        <v>152656.1</v>
      </c>
      <c r="BX16" s="476">
        <f t="shared" si="18"/>
        <v>134582</v>
      </c>
      <c r="BY16" s="1127">
        <v>134582</v>
      </c>
      <c r="BZ16" s="1127">
        <v>0</v>
      </c>
      <c r="CA16" s="1127">
        <v>0</v>
      </c>
      <c r="CB16" s="1127"/>
      <c r="CC16" s="1127">
        <v>17000</v>
      </c>
      <c r="CD16" s="1127">
        <v>0</v>
      </c>
      <c r="CE16" s="1127"/>
      <c r="CF16" s="1127">
        <v>4.0999999999999996</v>
      </c>
      <c r="CG16" s="1127"/>
      <c r="CH16" s="1127"/>
      <c r="CI16" s="1127">
        <v>1070</v>
      </c>
      <c r="CJ16" s="1127"/>
    </row>
    <row r="17" spans="1:88" s="292" customFormat="1" ht="23.25" customHeight="1">
      <c r="A17" s="1120">
        <v>8</v>
      </c>
      <c r="B17" s="1126" t="s">
        <v>287</v>
      </c>
      <c r="C17" s="476">
        <f t="shared" si="6"/>
        <v>377308</v>
      </c>
      <c r="D17" s="476">
        <f t="shared" si="7"/>
        <v>249795.34999999998</v>
      </c>
      <c r="E17" s="476">
        <f t="shared" si="8"/>
        <v>213142.55</v>
      </c>
      <c r="F17" s="588">
        <v>134805.54999999999</v>
      </c>
      <c r="G17" s="588">
        <v>78337</v>
      </c>
      <c r="H17" s="476">
        <v>0</v>
      </c>
      <c r="I17" s="1127">
        <f t="shared" si="0"/>
        <v>36429.300000000003</v>
      </c>
      <c r="J17" s="588">
        <v>1425.3</v>
      </c>
      <c r="K17" s="588">
        <v>20004</v>
      </c>
      <c r="L17" s="588">
        <v>15000</v>
      </c>
      <c r="M17" s="588"/>
      <c r="N17" s="588"/>
      <c r="O17" s="588">
        <v>0</v>
      </c>
      <c r="P17" s="476">
        <v>0</v>
      </c>
      <c r="Q17" s="588">
        <f t="shared" si="1"/>
        <v>223.5</v>
      </c>
      <c r="R17" s="588">
        <v>184.3</v>
      </c>
      <c r="S17" s="1128"/>
      <c r="T17" s="1128"/>
      <c r="U17" s="588">
        <v>39.200000000000003</v>
      </c>
      <c r="V17" s="588"/>
      <c r="W17" s="1126" t="s">
        <v>287</v>
      </c>
      <c r="X17" s="476">
        <f t="shared" si="9"/>
        <v>1597.9999999999998</v>
      </c>
      <c r="Y17" s="476">
        <f t="shared" si="10"/>
        <v>0.8</v>
      </c>
      <c r="Z17" s="588">
        <v>0.8</v>
      </c>
      <c r="AA17" s="588"/>
      <c r="AB17" s="476">
        <f t="shared" si="11"/>
        <v>1575.8999999999999</v>
      </c>
      <c r="AC17" s="588">
        <v>0</v>
      </c>
      <c r="AD17" s="588">
        <v>0</v>
      </c>
      <c r="AE17" s="588"/>
      <c r="AF17" s="588">
        <v>13.4</v>
      </c>
      <c r="AG17" s="588">
        <v>3.7</v>
      </c>
      <c r="AH17" s="588">
        <v>1558.8</v>
      </c>
      <c r="AI17" s="476">
        <v>0</v>
      </c>
      <c r="AJ17" s="476">
        <f t="shared" si="12"/>
        <v>0</v>
      </c>
      <c r="AK17" s="588">
        <v>0</v>
      </c>
      <c r="AL17" s="588"/>
      <c r="AM17" s="588"/>
      <c r="AN17" s="476">
        <f t="shared" si="2"/>
        <v>21.3</v>
      </c>
      <c r="AO17" s="588">
        <v>21.3</v>
      </c>
      <c r="AP17" s="588">
        <v>0</v>
      </c>
      <c r="AQ17" s="1126" t="s">
        <v>287</v>
      </c>
      <c r="AR17" s="476">
        <f t="shared" si="13"/>
        <v>4559</v>
      </c>
      <c r="AS17" s="476">
        <f t="shared" si="14"/>
        <v>4285</v>
      </c>
      <c r="AT17" s="588">
        <v>0</v>
      </c>
      <c r="AU17" s="588">
        <v>4285</v>
      </c>
      <c r="AV17" s="588"/>
      <c r="AW17" s="588">
        <v>0</v>
      </c>
      <c r="AX17" s="476">
        <f t="shared" si="15"/>
        <v>0</v>
      </c>
      <c r="AY17" s="588"/>
      <c r="AZ17" s="588"/>
      <c r="BA17" s="476">
        <f t="shared" si="16"/>
        <v>0</v>
      </c>
      <c r="BB17" s="588"/>
      <c r="BC17" s="588">
        <v>0</v>
      </c>
      <c r="BD17" s="476">
        <f t="shared" si="17"/>
        <v>274</v>
      </c>
      <c r="BE17" s="588">
        <v>89.8</v>
      </c>
      <c r="BF17" s="588">
        <v>184.2</v>
      </c>
      <c r="BG17" s="588"/>
      <c r="BH17" s="588"/>
      <c r="BI17" s="588">
        <v>0</v>
      </c>
      <c r="BJ17" s="476"/>
      <c r="BK17" s="476">
        <f t="shared" si="3"/>
        <v>0</v>
      </c>
      <c r="BL17" s="588"/>
      <c r="BM17" s="588"/>
      <c r="BN17" s="588"/>
      <c r="BO17" s="588"/>
      <c r="BP17" s="588"/>
      <c r="BQ17" s="1126" t="s">
        <v>287</v>
      </c>
      <c r="BR17" s="476">
        <f t="shared" si="4"/>
        <v>2011.4</v>
      </c>
      <c r="BS17" s="476">
        <v>988.1</v>
      </c>
      <c r="BT17" s="476">
        <v>1023.3</v>
      </c>
      <c r="BU17" s="476"/>
      <c r="BV17" s="476"/>
      <c r="BW17" s="476">
        <f t="shared" si="5"/>
        <v>119344.25</v>
      </c>
      <c r="BX17" s="476">
        <f t="shared" si="18"/>
        <v>119340</v>
      </c>
      <c r="BY17" s="476">
        <v>0</v>
      </c>
      <c r="BZ17" s="476">
        <v>0</v>
      </c>
      <c r="CA17" s="476">
        <v>119340</v>
      </c>
      <c r="CB17" s="476"/>
      <c r="CC17" s="476">
        <v>0</v>
      </c>
      <c r="CD17" s="476">
        <v>0.25</v>
      </c>
      <c r="CE17" s="476"/>
      <c r="CF17" s="476">
        <v>4</v>
      </c>
      <c r="CG17" s="476"/>
      <c r="CH17" s="476"/>
      <c r="CI17" s="476"/>
      <c r="CJ17" s="476"/>
    </row>
    <row r="18" spans="1:88" s="292" customFormat="1" ht="23.25" customHeight="1">
      <c r="A18" s="1120">
        <v>9</v>
      </c>
      <c r="B18" s="1126" t="s">
        <v>293</v>
      </c>
      <c r="C18" s="476">
        <f t="shared" si="6"/>
        <v>28084</v>
      </c>
      <c r="D18" s="476">
        <f t="shared" si="7"/>
        <v>296.60000000000002</v>
      </c>
      <c r="E18" s="476">
        <f t="shared" si="8"/>
        <v>0</v>
      </c>
      <c r="F18" s="588">
        <v>0</v>
      </c>
      <c r="G18" s="588">
        <v>0</v>
      </c>
      <c r="H18" s="476">
        <v>0</v>
      </c>
      <c r="I18" s="1127">
        <f t="shared" si="0"/>
        <v>296.60000000000002</v>
      </c>
      <c r="J18" s="588">
        <v>18</v>
      </c>
      <c r="K18" s="588">
        <v>218.6</v>
      </c>
      <c r="L18" s="588">
        <v>7</v>
      </c>
      <c r="M18" s="588">
        <v>53</v>
      </c>
      <c r="N18" s="588"/>
      <c r="O18" s="588">
        <v>0</v>
      </c>
      <c r="P18" s="476">
        <v>0</v>
      </c>
      <c r="Q18" s="588">
        <f t="shared" si="1"/>
        <v>0</v>
      </c>
      <c r="R18" s="588">
        <v>0</v>
      </c>
      <c r="S18" s="1128"/>
      <c r="T18" s="1128"/>
      <c r="U18" s="588"/>
      <c r="V18" s="588"/>
      <c r="W18" s="1126" t="s">
        <v>293</v>
      </c>
      <c r="X18" s="476">
        <f t="shared" si="9"/>
        <v>24000.600000000002</v>
      </c>
      <c r="Y18" s="476">
        <f t="shared" si="10"/>
        <v>258.3</v>
      </c>
      <c r="Z18" s="588">
        <v>250.3</v>
      </c>
      <c r="AA18" s="588">
        <v>8</v>
      </c>
      <c r="AB18" s="476">
        <f t="shared" si="11"/>
        <v>22478.9</v>
      </c>
      <c r="AC18" s="588">
        <v>10.8</v>
      </c>
      <c r="AD18" s="588">
        <v>62</v>
      </c>
      <c r="AE18" s="588">
        <v>65.7</v>
      </c>
      <c r="AF18" s="588">
        <v>62</v>
      </c>
      <c r="AG18" s="588">
        <v>65.7</v>
      </c>
      <c r="AH18" s="588">
        <v>22212.7</v>
      </c>
      <c r="AI18" s="476">
        <v>46.9</v>
      </c>
      <c r="AJ18" s="476">
        <f t="shared" si="12"/>
        <v>427</v>
      </c>
      <c r="AK18" s="588">
        <v>394.3</v>
      </c>
      <c r="AL18" s="588">
        <v>24.3</v>
      </c>
      <c r="AM18" s="588">
        <v>8.4</v>
      </c>
      <c r="AN18" s="476">
        <f t="shared" si="2"/>
        <v>789.5</v>
      </c>
      <c r="AO18" s="588">
        <v>745.5</v>
      </c>
      <c r="AP18" s="588">
        <v>44</v>
      </c>
      <c r="AQ18" s="1126" t="s">
        <v>293</v>
      </c>
      <c r="AR18" s="476">
        <f t="shared" si="13"/>
        <v>1703.3</v>
      </c>
      <c r="AS18" s="476">
        <f t="shared" si="14"/>
        <v>194.39999999999998</v>
      </c>
      <c r="AT18" s="588">
        <v>0</v>
      </c>
      <c r="AU18" s="588">
        <v>194.2</v>
      </c>
      <c r="AV18" s="588">
        <v>0.2</v>
      </c>
      <c r="AW18" s="588">
        <v>0</v>
      </c>
      <c r="AX18" s="476">
        <f t="shared" si="15"/>
        <v>631.6</v>
      </c>
      <c r="AY18" s="588">
        <v>622</v>
      </c>
      <c r="AZ18" s="588">
        <v>9.6</v>
      </c>
      <c r="BA18" s="476">
        <f t="shared" si="16"/>
        <v>289.60000000000002</v>
      </c>
      <c r="BB18" s="588">
        <v>205.8</v>
      </c>
      <c r="BC18" s="588">
        <v>83.8</v>
      </c>
      <c r="BD18" s="476">
        <f t="shared" si="17"/>
        <v>587.70000000000005</v>
      </c>
      <c r="BE18" s="588">
        <v>87.9</v>
      </c>
      <c r="BF18" s="588">
        <v>263.5</v>
      </c>
      <c r="BG18" s="588">
        <v>18.600000000000001</v>
      </c>
      <c r="BH18" s="588">
        <v>213.1</v>
      </c>
      <c r="BI18" s="588">
        <v>4.5999999999999996</v>
      </c>
      <c r="BJ18" s="476"/>
      <c r="BK18" s="476">
        <f t="shared" si="3"/>
        <v>0</v>
      </c>
      <c r="BL18" s="588"/>
      <c r="BM18" s="588"/>
      <c r="BN18" s="588"/>
      <c r="BO18" s="588"/>
      <c r="BP18" s="588"/>
      <c r="BQ18" s="1126" t="s">
        <v>293</v>
      </c>
      <c r="BR18" s="476">
        <f t="shared" si="4"/>
        <v>378.9</v>
      </c>
      <c r="BS18" s="476">
        <v>321.39999999999998</v>
      </c>
      <c r="BT18" s="476">
        <v>57.5</v>
      </c>
      <c r="BU18" s="476"/>
      <c r="BV18" s="476"/>
      <c r="BW18" s="476">
        <f t="shared" si="5"/>
        <v>1704.6</v>
      </c>
      <c r="BX18" s="476">
        <f t="shared" si="18"/>
        <v>0</v>
      </c>
      <c r="BY18" s="476">
        <v>0</v>
      </c>
      <c r="BZ18" s="476">
        <v>0</v>
      </c>
      <c r="CA18" s="476">
        <v>0</v>
      </c>
      <c r="CB18" s="476"/>
      <c r="CC18" s="476">
        <v>0</v>
      </c>
      <c r="CD18" s="476">
        <v>1698.3</v>
      </c>
      <c r="CE18" s="476">
        <v>2</v>
      </c>
      <c r="CF18" s="476">
        <v>4.3</v>
      </c>
      <c r="CG18" s="476"/>
      <c r="CH18" s="476"/>
      <c r="CI18" s="476"/>
      <c r="CJ18" s="476"/>
    </row>
    <row r="19" spans="1:88" s="292" customFormat="1" ht="23.25" customHeight="1">
      <c r="A19" s="1120">
        <v>10</v>
      </c>
      <c r="B19" s="1126" t="s">
        <v>286</v>
      </c>
      <c r="C19" s="476">
        <f t="shared" si="6"/>
        <v>2809299</v>
      </c>
      <c r="D19" s="476">
        <f t="shared" si="7"/>
        <v>1768153.4000000001</v>
      </c>
      <c r="E19" s="476">
        <f t="shared" si="8"/>
        <v>1366939.1</v>
      </c>
      <c r="F19" s="588">
        <v>551727.30000000005</v>
      </c>
      <c r="G19" s="588">
        <v>815211.8</v>
      </c>
      <c r="H19" s="476">
        <v>353765</v>
      </c>
      <c r="I19" s="1127">
        <f t="shared" si="0"/>
        <v>47223</v>
      </c>
      <c r="J19" s="588">
        <v>22140</v>
      </c>
      <c r="K19" s="588">
        <v>17</v>
      </c>
      <c r="L19" s="588"/>
      <c r="M19" s="588">
        <v>1340</v>
      </c>
      <c r="N19" s="588">
        <v>18000</v>
      </c>
      <c r="O19" s="588">
        <v>5726</v>
      </c>
      <c r="P19" s="476">
        <v>0</v>
      </c>
      <c r="Q19" s="588">
        <f t="shared" si="1"/>
        <v>226.3</v>
      </c>
      <c r="R19" s="588">
        <v>226.3</v>
      </c>
      <c r="S19" s="1128"/>
      <c r="T19" s="1128"/>
      <c r="U19" s="588"/>
      <c r="V19" s="588"/>
      <c r="W19" s="1126" t="s">
        <v>286</v>
      </c>
      <c r="X19" s="476">
        <f t="shared" si="9"/>
        <v>4578.2000000000007</v>
      </c>
      <c r="Y19" s="476">
        <f t="shared" si="10"/>
        <v>74.7</v>
      </c>
      <c r="Z19" s="588">
        <v>10.7</v>
      </c>
      <c r="AA19" s="588">
        <v>64</v>
      </c>
      <c r="AB19" s="476">
        <f t="shared" si="11"/>
        <v>4383.9000000000005</v>
      </c>
      <c r="AC19" s="588">
        <v>0.64400000000000002</v>
      </c>
      <c r="AD19" s="588">
        <v>0.32</v>
      </c>
      <c r="AE19" s="588"/>
      <c r="AF19" s="588">
        <v>11.3</v>
      </c>
      <c r="AG19" s="588">
        <v>9.8000000000000007</v>
      </c>
      <c r="AH19" s="588">
        <v>4361.8360000000002</v>
      </c>
      <c r="AI19" s="476">
        <v>0</v>
      </c>
      <c r="AJ19" s="476">
        <f t="shared" si="12"/>
        <v>60.3</v>
      </c>
      <c r="AK19" s="588">
        <v>58</v>
      </c>
      <c r="AL19" s="588"/>
      <c r="AM19" s="588">
        <v>2.2999999999999998</v>
      </c>
      <c r="AN19" s="476">
        <f t="shared" si="2"/>
        <v>59.3</v>
      </c>
      <c r="AO19" s="588">
        <v>42.3</v>
      </c>
      <c r="AP19" s="588">
        <v>17</v>
      </c>
      <c r="AQ19" s="1126" t="s">
        <v>286</v>
      </c>
      <c r="AR19" s="476">
        <f t="shared" si="13"/>
        <v>7650</v>
      </c>
      <c r="AS19" s="476">
        <f t="shared" si="14"/>
        <v>7265</v>
      </c>
      <c r="AT19" s="588">
        <v>0</v>
      </c>
      <c r="AU19" s="588">
        <v>6962</v>
      </c>
      <c r="AV19" s="588">
        <v>270</v>
      </c>
      <c r="AW19" s="588">
        <v>33</v>
      </c>
      <c r="AX19" s="476">
        <f t="shared" si="15"/>
        <v>0</v>
      </c>
      <c r="AY19" s="588"/>
      <c r="AZ19" s="588"/>
      <c r="BA19" s="476">
        <f t="shared" si="16"/>
        <v>0</v>
      </c>
      <c r="BB19" s="588"/>
      <c r="BC19" s="588">
        <v>0</v>
      </c>
      <c r="BD19" s="476">
        <f t="shared" si="17"/>
        <v>385</v>
      </c>
      <c r="BE19" s="588">
        <v>270</v>
      </c>
      <c r="BF19" s="588">
        <v>100</v>
      </c>
      <c r="BG19" s="588">
        <v>10</v>
      </c>
      <c r="BH19" s="588"/>
      <c r="BI19" s="588">
        <v>5</v>
      </c>
      <c r="BJ19" s="476"/>
      <c r="BK19" s="476">
        <f t="shared" si="3"/>
        <v>1072</v>
      </c>
      <c r="BL19" s="588">
        <v>72</v>
      </c>
      <c r="BM19" s="588"/>
      <c r="BN19" s="588">
        <v>1000</v>
      </c>
      <c r="BO19" s="588"/>
      <c r="BP19" s="588"/>
      <c r="BQ19" s="1126" t="s">
        <v>286</v>
      </c>
      <c r="BR19" s="476">
        <f t="shared" si="4"/>
        <v>50982</v>
      </c>
      <c r="BS19" s="476">
        <v>771</v>
      </c>
      <c r="BT19" s="476">
        <v>50211</v>
      </c>
      <c r="BU19" s="476"/>
      <c r="BV19" s="476"/>
      <c r="BW19" s="476">
        <f t="shared" si="5"/>
        <v>976863.4</v>
      </c>
      <c r="BX19" s="476">
        <f t="shared" si="18"/>
        <v>631855</v>
      </c>
      <c r="BY19" s="476">
        <v>631855</v>
      </c>
      <c r="BZ19" s="476">
        <v>0</v>
      </c>
      <c r="CA19" s="476">
        <v>0</v>
      </c>
      <c r="CB19" s="476"/>
      <c r="CC19" s="476">
        <v>345000</v>
      </c>
      <c r="CD19" s="476"/>
      <c r="CE19" s="476"/>
      <c r="CF19" s="476">
        <v>8.4</v>
      </c>
      <c r="CG19" s="476"/>
      <c r="CH19" s="476"/>
      <c r="CI19" s="476"/>
      <c r="CJ19" s="476"/>
    </row>
    <row r="20" spans="1:88" s="292" customFormat="1" ht="23.25" customHeight="1">
      <c r="A20" s="1120">
        <v>11</v>
      </c>
      <c r="B20" s="1126" t="s">
        <v>288</v>
      </c>
      <c r="C20" s="476">
        <f t="shared" si="6"/>
        <v>416928.99999999994</v>
      </c>
      <c r="D20" s="476">
        <f t="shared" si="7"/>
        <v>290874.8</v>
      </c>
      <c r="E20" s="476">
        <f t="shared" si="8"/>
        <v>241116.79999999999</v>
      </c>
      <c r="F20" s="588">
        <v>49636.2</v>
      </c>
      <c r="G20" s="588">
        <v>191480.6</v>
      </c>
      <c r="H20" s="476">
        <v>47646.9</v>
      </c>
      <c r="I20" s="1127">
        <f t="shared" si="0"/>
        <v>1876.2</v>
      </c>
      <c r="J20" s="588">
        <v>0</v>
      </c>
      <c r="K20" s="588">
        <v>1876.2</v>
      </c>
      <c r="L20" s="588"/>
      <c r="M20" s="588"/>
      <c r="N20" s="588"/>
      <c r="O20" s="588"/>
      <c r="P20" s="476">
        <v>0</v>
      </c>
      <c r="Q20" s="588">
        <f t="shared" si="1"/>
        <v>234.9</v>
      </c>
      <c r="R20" s="588">
        <v>234.9</v>
      </c>
      <c r="S20" s="1128"/>
      <c r="T20" s="1128"/>
      <c r="U20" s="588"/>
      <c r="V20" s="588"/>
      <c r="W20" s="1126" t="s">
        <v>288</v>
      </c>
      <c r="X20" s="476">
        <f t="shared" si="9"/>
        <v>18044.600000000002</v>
      </c>
      <c r="Y20" s="476">
        <f t="shared" si="10"/>
        <v>0.82</v>
      </c>
      <c r="Z20" s="588">
        <v>0.82</v>
      </c>
      <c r="AA20" s="588"/>
      <c r="AB20" s="476">
        <f t="shared" si="11"/>
        <v>2621.48</v>
      </c>
      <c r="AC20" s="588">
        <v>12</v>
      </c>
      <c r="AD20" s="588">
        <v>10</v>
      </c>
      <c r="AE20" s="588"/>
      <c r="AF20" s="588">
        <v>4.5</v>
      </c>
      <c r="AG20" s="588">
        <v>6.2</v>
      </c>
      <c r="AH20" s="588">
        <v>2588.7800000000002</v>
      </c>
      <c r="AI20" s="476">
        <v>2.2000000000000002</v>
      </c>
      <c r="AJ20" s="476">
        <f t="shared" si="12"/>
        <v>15383.2</v>
      </c>
      <c r="AK20" s="588">
        <v>15383.2</v>
      </c>
      <c r="AL20" s="588"/>
      <c r="AM20" s="588">
        <v>0</v>
      </c>
      <c r="AN20" s="476">
        <f t="shared" si="2"/>
        <v>36.9</v>
      </c>
      <c r="AO20" s="588">
        <v>36.9</v>
      </c>
      <c r="AP20" s="588"/>
      <c r="AQ20" s="1126" t="s">
        <v>288</v>
      </c>
      <c r="AR20" s="476">
        <f t="shared" si="13"/>
        <v>4365</v>
      </c>
      <c r="AS20" s="476">
        <f t="shared" si="14"/>
        <v>4034.5</v>
      </c>
      <c r="AT20" s="588">
        <v>0</v>
      </c>
      <c r="AU20" s="588">
        <v>4034.5</v>
      </c>
      <c r="AV20" s="588"/>
      <c r="AW20" s="588"/>
      <c r="AX20" s="476">
        <f t="shared" si="15"/>
        <v>0</v>
      </c>
      <c r="AY20" s="588"/>
      <c r="AZ20" s="588"/>
      <c r="BA20" s="476">
        <f t="shared" si="16"/>
        <v>0</v>
      </c>
      <c r="BB20" s="588"/>
      <c r="BC20" s="588">
        <v>0</v>
      </c>
      <c r="BD20" s="476">
        <f t="shared" si="17"/>
        <v>330.5</v>
      </c>
      <c r="BE20" s="588">
        <v>31.9</v>
      </c>
      <c r="BF20" s="588">
        <v>298.60000000000002</v>
      </c>
      <c r="BG20" s="588"/>
      <c r="BH20" s="588"/>
      <c r="BI20" s="588"/>
      <c r="BJ20" s="476"/>
      <c r="BK20" s="476">
        <f t="shared" si="3"/>
        <v>0</v>
      </c>
      <c r="BL20" s="588"/>
      <c r="BM20" s="588"/>
      <c r="BN20" s="588"/>
      <c r="BO20" s="588"/>
      <c r="BP20" s="588"/>
      <c r="BQ20" s="1126" t="s">
        <v>288</v>
      </c>
      <c r="BR20" s="476">
        <f t="shared" si="4"/>
        <v>4171.6000000000004</v>
      </c>
      <c r="BS20" s="476">
        <v>165.5</v>
      </c>
      <c r="BT20" s="476">
        <v>4006.1</v>
      </c>
      <c r="BU20" s="476"/>
      <c r="BV20" s="476"/>
      <c r="BW20" s="476">
        <f t="shared" si="5"/>
        <v>99473</v>
      </c>
      <c r="BX20" s="476">
        <f t="shared" si="18"/>
        <v>99469</v>
      </c>
      <c r="BY20" s="476">
        <v>0</v>
      </c>
      <c r="BZ20" s="476">
        <v>0</v>
      </c>
      <c r="CA20" s="476">
        <v>99469</v>
      </c>
      <c r="CB20" s="476"/>
      <c r="CC20" s="476">
        <v>0</v>
      </c>
      <c r="CD20" s="476"/>
      <c r="CE20" s="476"/>
      <c r="CF20" s="476">
        <v>4</v>
      </c>
      <c r="CG20" s="476"/>
      <c r="CH20" s="476"/>
      <c r="CI20" s="476"/>
      <c r="CJ20" s="476">
        <v>0</v>
      </c>
    </row>
    <row r="21" spans="1:88" s="292" customFormat="1" ht="23.25" customHeight="1">
      <c r="A21" s="1120">
        <v>12</v>
      </c>
      <c r="B21" s="1126" t="s">
        <v>289</v>
      </c>
      <c r="C21" s="476">
        <f t="shared" si="6"/>
        <v>650200</v>
      </c>
      <c r="D21" s="476">
        <f t="shared" si="7"/>
        <v>421538.4</v>
      </c>
      <c r="E21" s="476">
        <f t="shared" si="8"/>
        <v>353076.4</v>
      </c>
      <c r="F21" s="588">
        <v>141016.4</v>
      </c>
      <c r="G21" s="588">
        <v>212060</v>
      </c>
      <c r="H21" s="476">
        <v>63380</v>
      </c>
      <c r="I21" s="1127">
        <f t="shared" si="0"/>
        <v>4046</v>
      </c>
      <c r="J21" s="588">
        <v>2136</v>
      </c>
      <c r="K21" s="588">
        <v>50</v>
      </c>
      <c r="L21" s="588"/>
      <c r="M21" s="588"/>
      <c r="N21" s="588">
        <v>1860</v>
      </c>
      <c r="O21" s="588">
        <v>0</v>
      </c>
      <c r="P21" s="476">
        <v>605</v>
      </c>
      <c r="Q21" s="588">
        <f t="shared" si="1"/>
        <v>431</v>
      </c>
      <c r="R21" s="588">
        <v>431</v>
      </c>
      <c r="S21" s="1128"/>
      <c r="T21" s="1128"/>
      <c r="U21" s="588"/>
      <c r="V21" s="588"/>
      <c r="W21" s="1126" t="s">
        <v>289</v>
      </c>
      <c r="X21" s="476">
        <f t="shared" si="9"/>
        <v>3604.6</v>
      </c>
      <c r="Y21" s="476">
        <f t="shared" si="10"/>
        <v>39</v>
      </c>
      <c r="Z21" s="588">
        <v>39</v>
      </c>
      <c r="AA21" s="588"/>
      <c r="AB21" s="476">
        <f t="shared" si="11"/>
        <v>3359</v>
      </c>
      <c r="AC21" s="588">
        <v>1.5</v>
      </c>
      <c r="AD21" s="588">
        <v>0</v>
      </c>
      <c r="AE21" s="588"/>
      <c r="AF21" s="588">
        <v>8</v>
      </c>
      <c r="AG21" s="588">
        <v>12</v>
      </c>
      <c r="AH21" s="588">
        <v>3337.5</v>
      </c>
      <c r="AI21" s="476">
        <v>0</v>
      </c>
      <c r="AJ21" s="476">
        <f t="shared" si="12"/>
        <v>0</v>
      </c>
      <c r="AK21" s="588"/>
      <c r="AL21" s="588"/>
      <c r="AM21" s="588"/>
      <c r="AN21" s="476">
        <f t="shared" si="2"/>
        <v>206.6</v>
      </c>
      <c r="AO21" s="588">
        <v>206.6</v>
      </c>
      <c r="AP21" s="588"/>
      <c r="AQ21" s="1126" t="s">
        <v>289</v>
      </c>
      <c r="AR21" s="476">
        <f t="shared" si="13"/>
        <v>1689</v>
      </c>
      <c r="AS21" s="476">
        <f t="shared" si="14"/>
        <v>1648</v>
      </c>
      <c r="AT21" s="588">
        <v>0</v>
      </c>
      <c r="AU21" s="588">
        <v>1648</v>
      </c>
      <c r="AV21" s="588"/>
      <c r="AW21" s="588"/>
      <c r="AX21" s="476">
        <f t="shared" si="15"/>
        <v>0</v>
      </c>
      <c r="AY21" s="588"/>
      <c r="AZ21" s="588"/>
      <c r="BA21" s="476">
        <f t="shared" si="16"/>
        <v>0</v>
      </c>
      <c r="BB21" s="588"/>
      <c r="BC21" s="588">
        <v>0</v>
      </c>
      <c r="BD21" s="476">
        <f t="shared" si="17"/>
        <v>41</v>
      </c>
      <c r="BE21" s="588">
        <v>31</v>
      </c>
      <c r="BF21" s="588">
        <v>10</v>
      </c>
      <c r="BG21" s="588"/>
      <c r="BH21" s="588"/>
      <c r="BI21" s="588"/>
      <c r="BJ21" s="476"/>
      <c r="BK21" s="476">
        <f t="shared" si="3"/>
        <v>244</v>
      </c>
      <c r="BL21" s="588">
        <v>244</v>
      </c>
      <c r="BM21" s="588"/>
      <c r="BN21" s="588"/>
      <c r="BO21" s="588"/>
      <c r="BP21" s="588"/>
      <c r="BQ21" s="1126" t="s">
        <v>289</v>
      </c>
      <c r="BR21" s="476">
        <f t="shared" si="4"/>
        <v>1787</v>
      </c>
      <c r="BS21" s="476">
        <v>0</v>
      </c>
      <c r="BT21" s="476">
        <v>1787</v>
      </c>
      <c r="BU21" s="476"/>
      <c r="BV21" s="476"/>
      <c r="BW21" s="476">
        <f t="shared" si="5"/>
        <v>221337</v>
      </c>
      <c r="BX21" s="476">
        <f t="shared" si="18"/>
        <v>221336</v>
      </c>
      <c r="BY21" s="476">
        <v>0</v>
      </c>
      <c r="BZ21" s="476">
        <v>0</v>
      </c>
      <c r="CA21" s="476">
        <v>221336</v>
      </c>
      <c r="CB21" s="476"/>
      <c r="CC21" s="476">
        <v>0</v>
      </c>
      <c r="CD21" s="476"/>
      <c r="CE21" s="476"/>
      <c r="CF21" s="476">
        <v>1</v>
      </c>
      <c r="CG21" s="476"/>
      <c r="CH21" s="476"/>
      <c r="CI21" s="476"/>
      <c r="CJ21" s="476"/>
    </row>
    <row r="22" spans="1:88" s="93" customFormat="1" ht="23.25" customHeight="1">
      <c r="A22" s="1120">
        <v>13</v>
      </c>
      <c r="B22" s="1126" t="s">
        <v>291</v>
      </c>
      <c r="C22" s="476">
        <f t="shared" si="6"/>
        <v>1015212</v>
      </c>
      <c r="D22" s="476">
        <f t="shared" si="7"/>
        <v>741514.8</v>
      </c>
      <c r="E22" s="476">
        <f t="shared" si="8"/>
        <v>693949.4</v>
      </c>
      <c r="F22" s="588">
        <v>331000</v>
      </c>
      <c r="G22" s="588">
        <v>362949.4</v>
      </c>
      <c r="H22" s="476">
        <v>31339</v>
      </c>
      <c r="I22" s="1127">
        <f t="shared" si="0"/>
        <v>6915</v>
      </c>
      <c r="J22" s="588"/>
      <c r="K22" s="588">
        <v>9</v>
      </c>
      <c r="L22" s="588"/>
      <c r="M22" s="588"/>
      <c r="N22" s="588"/>
      <c r="O22" s="588">
        <v>6906</v>
      </c>
      <c r="P22" s="476">
        <v>0</v>
      </c>
      <c r="Q22" s="588">
        <f t="shared" si="1"/>
        <v>9311.4</v>
      </c>
      <c r="R22" s="588">
        <v>9311.4</v>
      </c>
      <c r="S22" s="1128"/>
      <c r="T22" s="1128"/>
      <c r="U22" s="588"/>
      <c r="V22" s="588"/>
      <c r="W22" s="1126" t="s">
        <v>291</v>
      </c>
      <c r="X22" s="476">
        <f t="shared" si="9"/>
        <v>5064</v>
      </c>
      <c r="Y22" s="476">
        <f t="shared" si="10"/>
        <v>12.4</v>
      </c>
      <c r="Z22" s="588">
        <v>12.4</v>
      </c>
      <c r="AA22" s="588"/>
      <c r="AB22" s="476">
        <f t="shared" si="11"/>
        <v>3439.1</v>
      </c>
      <c r="AC22" s="588">
        <v>2</v>
      </c>
      <c r="AD22" s="588">
        <v>14</v>
      </c>
      <c r="AE22" s="588"/>
      <c r="AF22" s="588">
        <v>7</v>
      </c>
      <c r="AG22" s="588">
        <v>8</v>
      </c>
      <c r="AH22" s="588">
        <v>3408.1</v>
      </c>
      <c r="AI22" s="476">
        <v>0</v>
      </c>
      <c r="AJ22" s="476">
        <f t="shared" si="12"/>
        <v>1358</v>
      </c>
      <c r="AK22" s="588">
        <v>1349</v>
      </c>
      <c r="AL22" s="588">
        <v>4</v>
      </c>
      <c r="AM22" s="588">
        <v>5</v>
      </c>
      <c r="AN22" s="476">
        <f t="shared" si="2"/>
        <v>254.5</v>
      </c>
      <c r="AO22" s="588">
        <v>254.5</v>
      </c>
      <c r="AP22" s="588"/>
      <c r="AQ22" s="1126" t="s">
        <v>291</v>
      </c>
      <c r="AR22" s="476">
        <f t="shared" si="13"/>
        <v>4449.2</v>
      </c>
      <c r="AS22" s="476">
        <f t="shared" si="14"/>
        <v>1419</v>
      </c>
      <c r="AT22" s="588">
        <v>0</v>
      </c>
      <c r="AU22" s="588">
        <v>1419</v>
      </c>
      <c r="AV22" s="588"/>
      <c r="AW22" s="588"/>
      <c r="AX22" s="476">
        <f t="shared" si="15"/>
        <v>2955</v>
      </c>
      <c r="AY22" s="588">
        <v>2939</v>
      </c>
      <c r="AZ22" s="588">
        <v>16</v>
      </c>
      <c r="BA22" s="476">
        <f t="shared" si="16"/>
        <v>0</v>
      </c>
      <c r="BB22" s="588"/>
      <c r="BC22" s="588">
        <v>0</v>
      </c>
      <c r="BD22" s="476">
        <f t="shared" si="17"/>
        <v>75.2</v>
      </c>
      <c r="BE22" s="588">
        <v>12</v>
      </c>
      <c r="BF22" s="588">
        <v>63.2</v>
      </c>
      <c r="BG22" s="588"/>
      <c r="BH22" s="588"/>
      <c r="BI22" s="588"/>
      <c r="BJ22" s="476"/>
      <c r="BK22" s="476">
        <f t="shared" si="3"/>
        <v>0</v>
      </c>
      <c r="BL22" s="588"/>
      <c r="BM22" s="588"/>
      <c r="BN22" s="588"/>
      <c r="BO22" s="588"/>
      <c r="BP22" s="588"/>
      <c r="BQ22" s="1126" t="s">
        <v>291</v>
      </c>
      <c r="BR22" s="476">
        <f t="shared" si="4"/>
        <v>5482</v>
      </c>
      <c r="BS22" s="476">
        <v>1126</v>
      </c>
      <c r="BT22" s="476">
        <v>4356</v>
      </c>
      <c r="BU22" s="476"/>
      <c r="BV22" s="476"/>
      <c r="BW22" s="476">
        <f t="shared" si="5"/>
        <v>258702</v>
      </c>
      <c r="BX22" s="476">
        <f t="shared" si="18"/>
        <v>33302</v>
      </c>
      <c r="BY22" s="476">
        <v>0</v>
      </c>
      <c r="BZ22" s="476">
        <v>0</v>
      </c>
      <c r="CA22" s="476">
        <v>33302</v>
      </c>
      <c r="CB22" s="476"/>
      <c r="CC22" s="476">
        <v>101000</v>
      </c>
      <c r="CD22" s="476"/>
      <c r="CE22" s="476"/>
      <c r="CF22" s="476">
        <v>0</v>
      </c>
      <c r="CG22" s="476">
        <v>124400</v>
      </c>
      <c r="CH22" s="476"/>
      <c r="CI22" s="476"/>
      <c r="CJ22" s="476"/>
    </row>
    <row r="23" spans="1:88" ht="23.25" customHeight="1">
      <c r="A23" s="1120">
        <v>14</v>
      </c>
      <c r="B23" s="1126" t="s">
        <v>292</v>
      </c>
      <c r="C23" s="476">
        <f t="shared" si="6"/>
        <v>653931</v>
      </c>
      <c r="D23" s="476">
        <f t="shared" si="7"/>
        <v>445948.30000000005</v>
      </c>
      <c r="E23" s="476">
        <f t="shared" si="8"/>
        <v>405815.9</v>
      </c>
      <c r="F23" s="588">
        <v>287081.90000000002</v>
      </c>
      <c r="G23" s="588">
        <v>118734</v>
      </c>
      <c r="H23" s="476">
        <v>18640.900000000001</v>
      </c>
      <c r="I23" s="1127">
        <f t="shared" si="0"/>
        <v>21348</v>
      </c>
      <c r="J23" s="588"/>
      <c r="K23" s="588">
        <v>0</v>
      </c>
      <c r="L23" s="588"/>
      <c r="M23" s="588"/>
      <c r="N23" s="588"/>
      <c r="O23" s="588">
        <v>21348</v>
      </c>
      <c r="P23" s="476">
        <v>0</v>
      </c>
      <c r="Q23" s="588">
        <f t="shared" si="1"/>
        <v>143.5</v>
      </c>
      <c r="R23" s="588">
        <v>67.900000000000006</v>
      </c>
      <c r="S23" s="1128"/>
      <c r="T23" s="1128"/>
      <c r="U23" s="588">
        <v>75.599999999999994</v>
      </c>
      <c r="V23" s="588"/>
      <c r="W23" s="1126" t="s">
        <v>292</v>
      </c>
      <c r="X23" s="476">
        <f t="shared" si="9"/>
        <v>2280.2000000000003</v>
      </c>
      <c r="Y23" s="476">
        <f t="shared" si="10"/>
        <v>1.9</v>
      </c>
      <c r="Z23" s="588">
        <v>1.9</v>
      </c>
      <c r="AA23" s="588"/>
      <c r="AB23" s="476">
        <f t="shared" si="11"/>
        <v>2245.3000000000002</v>
      </c>
      <c r="AC23" s="588">
        <v>0</v>
      </c>
      <c r="AD23" s="588">
        <v>0</v>
      </c>
      <c r="AE23" s="588"/>
      <c r="AF23" s="588">
        <v>3</v>
      </c>
      <c r="AG23" s="588">
        <v>5.4</v>
      </c>
      <c r="AH23" s="588">
        <v>2236.9</v>
      </c>
      <c r="AI23" s="476">
        <v>0</v>
      </c>
      <c r="AJ23" s="476">
        <f t="shared" si="12"/>
        <v>0</v>
      </c>
      <c r="AK23" s="588"/>
      <c r="AL23" s="588"/>
      <c r="AM23" s="588"/>
      <c r="AN23" s="476">
        <f t="shared" si="2"/>
        <v>33</v>
      </c>
      <c r="AO23" s="588">
        <v>33</v>
      </c>
      <c r="AP23" s="588"/>
      <c r="AQ23" s="1126" t="s">
        <v>292</v>
      </c>
      <c r="AR23" s="476">
        <f t="shared" si="13"/>
        <v>1511.7000000000003</v>
      </c>
      <c r="AS23" s="476">
        <f t="shared" si="14"/>
        <v>651</v>
      </c>
      <c r="AT23" s="588">
        <v>0</v>
      </c>
      <c r="AU23" s="588">
        <v>651</v>
      </c>
      <c r="AV23" s="588"/>
      <c r="AW23" s="588"/>
      <c r="AX23" s="476">
        <f t="shared" si="15"/>
        <v>733.80000000000007</v>
      </c>
      <c r="AY23" s="588">
        <v>712.1</v>
      </c>
      <c r="AZ23" s="588">
        <v>21.7</v>
      </c>
      <c r="BA23" s="476">
        <f t="shared" si="16"/>
        <v>0</v>
      </c>
      <c r="BB23" s="588"/>
      <c r="BC23" s="588">
        <v>0</v>
      </c>
      <c r="BD23" s="476">
        <f t="shared" si="17"/>
        <v>126.9</v>
      </c>
      <c r="BE23" s="588">
        <v>126.9</v>
      </c>
      <c r="BF23" s="588">
        <v>0</v>
      </c>
      <c r="BG23" s="588"/>
      <c r="BH23" s="588"/>
      <c r="BI23" s="588"/>
      <c r="BJ23" s="476"/>
      <c r="BK23" s="476">
        <f t="shared" si="3"/>
        <v>408.5</v>
      </c>
      <c r="BL23" s="588">
        <v>204.3</v>
      </c>
      <c r="BM23" s="588">
        <v>0</v>
      </c>
      <c r="BN23" s="588"/>
      <c r="BO23" s="588">
        <v>204.2</v>
      </c>
      <c r="BP23" s="588"/>
      <c r="BQ23" s="1126" t="s">
        <v>292</v>
      </c>
      <c r="BR23" s="476">
        <f t="shared" si="4"/>
        <v>5542.1</v>
      </c>
      <c r="BS23" s="476">
        <v>169.3</v>
      </c>
      <c r="BT23" s="476">
        <v>5372.8</v>
      </c>
      <c r="BU23" s="476"/>
      <c r="BV23" s="476"/>
      <c r="BW23" s="476">
        <f t="shared" si="5"/>
        <v>198240.2</v>
      </c>
      <c r="BX23" s="476">
        <f t="shared" si="18"/>
        <v>97236</v>
      </c>
      <c r="BY23" s="476">
        <v>97236</v>
      </c>
      <c r="BZ23" s="476">
        <v>0</v>
      </c>
      <c r="CA23" s="476">
        <v>0</v>
      </c>
      <c r="CB23" s="476"/>
      <c r="CC23" s="476">
        <v>101000</v>
      </c>
      <c r="CD23" s="476"/>
      <c r="CE23" s="476"/>
      <c r="CF23" s="476">
        <v>4.2</v>
      </c>
      <c r="CG23" s="476"/>
      <c r="CH23" s="476"/>
      <c r="CI23" s="476"/>
      <c r="CJ23" s="476"/>
    </row>
    <row r="24" spans="1:88" ht="23.25" customHeight="1">
      <c r="A24" s="1120">
        <v>15</v>
      </c>
      <c r="B24" s="487" t="s">
        <v>296</v>
      </c>
      <c r="C24" s="1134">
        <f>+D24+X24+AR24+BK24+BR24+BW24</f>
        <v>12359743</v>
      </c>
      <c r="D24" s="1135">
        <f>+Q24+P24+I24+H24+E24</f>
        <v>9553893.9399999995</v>
      </c>
      <c r="E24" s="476">
        <f>+F24+G24</f>
        <v>8580268.8399999999</v>
      </c>
      <c r="F24" s="588">
        <f>SUM(F10:F23)</f>
        <v>4005949.84</v>
      </c>
      <c r="G24" s="588">
        <f>SUM(G10:G23)</f>
        <v>4574319</v>
      </c>
      <c r="H24" s="476">
        <f>SUM(H10:H23)</f>
        <v>811242.60000000009</v>
      </c>
      <c r="I24" s="476">
        <f>+O24+N24+M24+L24+K24+J24</f>
        <v>141941</v>
      </c>
      <c r="J24" s="1136">
        <f t="shared" ref="J24:P24" si="19">SUM(J10:J23)</f>
        <v>38978.400000000001</v>
      </c>
      <c r="K24" s="1136">
        <f t="shared" si="19"/>
        <v>22272</v>
      </c>
      <c r="L24" s="1136">
        <f t="shared" si="19"/>
        <v>15007</v>
      </c>
      <c r="M24" s="1136">
        <f t="shared" si="19"/>
        <v>1409</v>
      </c>
      <c r="N24" s="1136">
        <f t="shared" si="19"/>
        <v>19860</v>
      </c>
      <c r="O24" s="1136">
        <f t="shared" si="19"/>
        <v>44414.6</v>
      </c>
      <c r="P24" s="476">
        <f t="shared" si="19"/>
        <v>7311.7</v>
      </c>
      <c r="Q24" s="588">
        <f>+V24+U24+T24+R24</f>
        <v>13129.8</v>
      </c>
      <c r="R24" s="1136">
        <f>SUM(R10:R23)</f>
        <v>12946</v>
      </c>
      <c r="S24" s="1136">
        <f>SUM(S10:S23)</f>
        <v>0</v>
      </c>
      <c r="T24" s="1136">
        <f>SUM(T10:T23)</f>
        <v>0</v>
      </c>
      <c r="U24" s="1136">
        <f>SUM(U10:U23)</f>
        <v>183.8</v>
      </c>
      <c r="V24" s="1136">
        <f>SUM(V10:V23)</f>
        <v>0</v>
      </c>
      <c r="W24" s="487" t="s">
        <v>296</v>
      </c>
      <c r="X24" s="1135">
        <f t="shared" si="9"/>
        <v>109532.87</v>
      </c>
      <c r="Y24" s="476">
        <f>+AA24+Z24</f>
        <v>474.4199999999999</v>
      </c>
      <c r="Z24" s="1136">
        <f>SUM(Z10:Z23)</f>
        <v>364.71999999999991</v>
      </c>
      <c r="AA24" s="1136">
        <f>SUM(AA10:AA23)</f>
        <v>109.7</v>
      </c>
      <c r="AB24" s="476">
        <f>+AH24+AG24+AF24+AE24+AD24+AC24</f>
        <v>56428.860000000008</v>
      </c>
      <c r="AC24" s="1136">
        <f t="shared" ref="AC24:AI24" si="20">SUM(AC10:AC23)</f>
        <v>33.543999999999997</v>
      </c>
      <c r="AD24" s="1136">
        <f t="shared" si="20"/>
        <v>123.72</v>
      </c>
      <c r="AE24" s="1136">
        <f t="shared" si="20"/>
        <v>65.7</v>
      </c>
      <c r="AF24" s="1136">
        <f t="shared" si="20"/>
        <v>178.39000000000001</v>
      </c>
      <c r="AG24" s="1136">
        <f t="shared" si="20"/>
        <v>210.9</v>
      </c>
      <c r="AH24" s="1136">
        <f>SUM(AH10:AH23)</f>
        <v>55816.606000000007</v>
      </c>
      <c r="AI24" s="476">
        <f t="shared" si="20"/>
        <v>121.60000000000001</v>
      </c>
      <c r="AJ24" s="476">
        <f>+AM24+AL24+AK24</f>
        <v>50049.569999999992</v>
      </c>
      <c r="AK24" s="1136">
        <f>SUM(AK10:AK23)</f>
        <v>49906.869999999995</v>
      </c>
      <c r="AL24" s="1136">
        <f>SUM(AL10:AL23)</f>
        <v>28.6</v>
      </c>
      <c r="AM24" s="1136">
        <f>SUM(AM10:AM23)</f>
        <v>114.10000000000001</v>
      </c>
      <c r="AN24" s="476">
        <f t="shared" si="2"/>
        <v>2458.4199999999996</v>
      </c>
      <c r="AO24" s="1136">
        <f>SUM(AO10:AO23)</f>
        <v>2223.3199999999997</v>
      </c>
      <c r="AP24" s="1136">
        <f>SUM(AP10:AP23)</f>
        <v>235.1</v>
      </c>
      <c r="AQ24" s="487" t="s">
        <v>296</v>
      </c>
      <c r="AR24" s="1137">
        <f>+AS24+AX24+BA24+BD24</f>
        <v>46186.64</v>
      </c>
      <c r="AS24" s="476">
        <f>+AT24+AU24+AV24+AW24</f>
        <v>36829.4</v>
      </c>
      <c r="AT24" s="1136">
        <f>SUM(AT10:AT23)</f>
        <v>4194.7</v>
      </c>
      <c r="AU24" s="1136">
        <f>SUM(AU10:AU23)</f>
        <v>31906.100000000002</v>
      </c>
      <c r="AV24" s="1136">
        <f>SUM(AV10:AV23)</f>
        <v>270.2</v>
      </c>
      <c r="AW24" s="1136">
        <f>SUM(AW10:AW23)</f>
        <v>458.4</v>
      </c>
      <c r="AX24" s="482">
        <f>+AY24+AZ24</f>
        <v>5044.6000000000004</v>
      </c>
      <c r="AY24" s="1136">
        <f>SUM(AY10:AY23)</f>
        <v>4997.3</v>
      </c>
      <c r="AZ24" s="1136">
        <f>SUM(AZ10:AZ23)</f>
        <v>47.3</v>
      </c>
      <c r="BA24" s="482">
        <f>+BB24+BC24</f>
        <v>289.60000000000002</v>
      </c>
      <c r="BB24" s="1136">
        <f>SUM(BB10:BB23)</f>
        <v>205.8</v>
      </c>
      <c r="BC24" s="1136">
        <f>SUM(BC10:BC23)</f>
        <v>83.8</v>
      </c>
      <c r="BD24" s="476">
        <f>+BE24+BF24+BG24+BH24+BI24</f>
        <v>4023.04</v>
      </c>
      <c r="BE24" s="1136">
        <f t="shared" ref="BE24:BJ24" si="21">SUM(BE10:BE23)</f>
        <v>1478.94</v>
      </c>
      <c r="BF24" s="1136">
        <f t="shared" si="21"/>
        <v>2292.8000000000002</v>
      </c>
      <c r="BG24" s="1136">
        <f t="shared" si="21"/>
        <v>28.6</v>
      </c>
      <c r="BH24" s="1136">
        <f t="shared" si="21"/>
        <v>213.1</v>
      </c>
      <c r="BI24" s="1136">
        <f t="shared" si="21"/>
        <v>9.6</v>
      </c>
      <c r="BJ24" s="1136">
        <f t="shared" si="21"/>
        <v>0</v>
      </c>
      <c r="BK24" s="1137">
        <f>+BL24+BM24+BN24+BO24+BP24</f>
        <v>137034</v>
      </c>
      <c r="BL24" s="1136">
        <f>SUM(BL10:BL23)</f>
        <v>61117.3</v>
      </c>
      <c r="BM24" s="1136">
        <f>SUM(BM10:BM23)</f>
        <v>42143.200000000004</v>
      </c>
      <c r="BN24" s="1136">
        <f>SUM(BN10:BN23)</f>
        <v>1000</v>
      </c>
      <c r="BO24" s="1136">
        <f>SUM(BO10:BO23)</f>
        <v>32773.5</v>
      </c>
      <c r="BP24" s="1136">
        <f>SUM(BP10:BP23)</f>
        <v>0</v>
      </c>
      <c r="BQ24" s="487" t="s">
        <v>296</v>
      </c>
      <c r="BR24" s="1138">
        <f t="shared" si="4"/>
        <v>91132.400000000009</v>
      </c>
      <c r="BS24" s="476">
        <f>SUM(BS10:BS23)</f>
        <v>9295.9120000000003</v>
      </c>
      <c r="BT24" s="476">
        <f>SUM(BT10:BT23)</f>
        <v>81836.488000000012</v>
      </c>
      <c r="BU24" s="476">
        <f>SUM(BU10:BU23)</f>
        <v>0</v>
      </c>
      <c r="BV24" s="476">
        <f>SUM(BV10:BV23)</f>
        <v>0</v>
      </c>
      <c r="BW24" s="1138">
        <f t="shared" si="5"/>
        <v>2421963.15</v>
      </c>
      <c r="BX24" s="476">
        <f>+BY24+BZ24+CA24+CB24</f>
        <v>1551128</v>
      </c>
      <c r="BY24" s="476">
        <f t="shared" ref="BY24:CJ24" si="22">SUM(BY10:BY23)</f>
        <v>864223</v>
      </c>
      <c r="BZ24" s="476">
        <f t="shared" si="22"/>
        <v>20579</v>
      </c>
      <c r="CA24" s="476">
        <f t="shared" si="22"/>
        <v>666326</v>
      </c>
      <c r="CB24" s="476">
        <f t="shared" si="22"/>
        <v>0</v>
      </c>
      <c r="CC24" s="476">
        <f t="shared" si="22"/>
        <v>728500</v>
      </c>
      <c r="CD24" s="476">
        <f t="shared" si="22"/>
        <v>16808.55</v>
      </c>
      <c r="CE24" s="476">
        <f t="shared" si="22"/>
        <v>2</v>
      </c>
      <c r="CF24" s="476">
        <f t="shared" si="22"/>
        <v>54.6</v>
      </c>
      <c r="CG24" s="482">
        <f t="shared" si="22"/>
        <v>124400</v>
      </c>
      <c r="CH24" s="476">
        <f t="shared" si="22"/>
        <v>0</v>
      </c>
      <c r="CI24" s="476">
        <f t="shared" si="22"/>
        <v>1070</v>
      </c>
      <c r="CJ24" s="476">
        <f t="shared" si="22"/>
        <v>0</v>
      </c>
    </row>
    <row r="26" spans="1:88">
      <c r="J26">
        <v>78</v>
      </c>
      <c r="AF26" s="319">
        <v>79</v>
      </c>
      <c r="BC26" s="319">
        <v>80</v>
      </c>
      <c r="BZ26" s="319">
        <v>81</v>
      </c>
    </row>
  </sheetData>
  <mergeCells count="104">
    <mergeCell ref="BW5:CJ5"/>
    <mergeCell ref="CD7:CD9"/>
    <mergeCell ref="CE7:CE9"/>
    <mergeCell ref="BW6:BW9"/>
    <mergeCell ref="BX6:CJ6"/>
    <mergeCell ref="CF7:CF9"/>
    <mergeCell ref="CG7:CG9"/>
    <mergeCell ref="CH7:CH9"/>
    <mergeCell ref="CI7:CI9"/>
    <mergeCell ref="CJ7:CJ9"/>
    <mergeCell ref="BY7:CB8"/>
    <mergeCell ref="CC7:CC9"/>
    <mergeCell ref="BX7:BX9"/>
    <mergeCell ref="BS7:BS9"/>
    <mergeCell ref="BN7:BN9"/>
    <mergeCell ref="BO7:BO9"/>
    <mergeCell ref="BP7:BP9"/>
    <mergeCell ref="BT7:BT9"/>
    <mergeCell ref="BU7:BU9"/>
    <mergeCell ref="BQ5:BQ9"/>
    <mergeCell ref="BS6:BV6"/>
    <mergeCell ref="BV7:BV9"/>
    <mergeCell ref="BR5:BV5"/>
    <mergeCell ref="BK6:BK9"/>
    <mergeCell ref="BL6:BP6"/>
    <mergeCell ref="BR6:BR9"/>
    <mergeCell ref="AI7:AI9"/>
    <mergeCell ref="AJ7:AJ9"/>
    <mergeCell ref="AK7:AM7"/>
    <mergeCell ref="AN7:AN9"/>
    <mergeCell ref="Z8:Z9"/>
    <mergeCell ref="Y7:Y9"/>
    <mergeCell ref="AO7:AP7"/>
    <mergeCell ref="AS7:AS9"/>
    <mergeCell ref="AT7:AW7"/>
    <mergeCell ref="AX7:AX9"/>
    <mergeCell ref="AY7:AZ7"/>
    <mergeCell ref="BA7:BA9"/>
    <mergeCell ref="AP8:AP9"/>
    <mergeCell ref="AT8:AT9"/>
    <mergeCell ref="AU8:AU9"/>
    <mergeCell ref="AW8:AW9"/>
    <mergeCell ref="AY8:AY9"/>
    <mergeCell ref="BE7:BI7"/>
    <mergeCell ref="BJ7:BJ9"/>
    <mergeCell ref="BL7:BL9"/>
    <mergeCell ref="BM7:BM9"/>
    <mergeCell ref="D1:N2"/>
    <mergeCell ref="AQ4:AQ9"/>
    <mergeCell ref="AR4:BJ4"/>
    <mergeCell ref="BK4:BP4"/>
    <mergeCell ref="AR5:BJ5"/>
    <mergeCell ref="BK5:BP5"/>
    <mergeCell ref="Z7:AA7"/>
    <mergeCell ref="AB7:AB9"/>
    <mergeCell ref="AC7:AH7"/>
    <mergeCell ref="R7:U7"/>
    <mergeCell ref="Q7:Q9"/>
    <mergeCell ref="E7:E9"/>
    <mergeCell ref="F7:G8"/>
    <mergeCell ref="H7:H9"/>
    <mergeCell ref="I7:I9"/>
    <mergeCell ref="J7:O8"/>
    <mergeCell ref="P7:P9"/>
    <mergeCell ref="V7:V9"/>
    <mergeCell ref="R8:R9"/>
    <mergeCell ref="T8:T9"/>
    <mergeCell ref="U8:U9"/>
    <mergeCell ref="AV8:AV9"/>
    <mergeCell ref="BB7:BC7"/>
    <mergeCell ref="BD7:BD9"/>
    <mergeCell ref="A4:A9"/>
    <mergeCell ref="B4:B9"/>
    <mergeCell ref="C4:C9"/>
    <mergeCell ref="D4:V4"/>
    <mergeCell ref="W4:W9"/>
    <mergeCell ref="X4:AP4"/>
    <mergeCell ref="D5:V5"/>
    <mergeCell ref="X5:AP5"/>
    <mergeCell ref="D6:D9"/>
    <mergeCell ref="E6:V6"/>
    <mergeCell ref="AA8:AA9"/>
    <mergeCell ref="AC8:AC9"/>
    <mergeCell ref="AD8:AD9"/>
    <mergeCell ref="AE8:AE9"/>
    <mergeCell ref="AF8:AF9"/>
    <mergeCell ref="X6:X9"/>
    <mergeCell ref="Y6:AP6"/>
    <mergeCell ref="AZ8:AZ9"/>
    <mergeCell ref="BB8:BB9"/>
    <mergeCell ref="BC8:BC9"/>
    <mergeCell ref="BE8:BE9"/>
    <mergeCell ref="AG8:AG9"/>
    <mergeCell ref="AH8:AH9"/>
    <mergeCell ref="AK8:AK9"/>
    <mergeCell ref="AL8:AL9"/>
    <mergeCell ref="AM8:AM9"/>
    <mergeCell ref="AO8:AO9"/>
    <mergeCell ref="AR6:AR9"/>
    <mergeCell ref="AS6:BJ6"/>
    <mergeCell ref="BF8:BF9"/>
    <mergeCell ref="BG8:BG9"/>
    <mergeCell ref="BH8:BH9"/>
    <mergeCell ref="BI8:BI9"/>
  </mergeCells>
  <pageMargins left="0.21" right="0.7" top="0.81" bottom="0.6" header="0.3" footer="0.3"/>
  <pageSetup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42"/>
  <sheetViews>
    <sheetView workbookViewId="0">
      <selection activeCell="D6" sqref="D6"/>
    </sheetView>
  </sheetViews>
  <sheetFormatPr defaultRowHeight="12"/>
  <cols>
    <col min="1" max="1" width="15.5703125" style="1291" customWidth="1"/>
    <col min="2" max="2" width="10.5703125" style="1291" customWidth="1"/>
    <col min="3" max="9" width="9.5703125" style="1291" customWidth="1"/>
    <col min="10" max="10" width="10.5703125" style="1291" customWidth="1"/>
    <col min="11" max="11" width="11.42578125" style="1291" customWidth="1"/>
    <col min="12" max="12" width="10.5703125" style="1291" customWidth="1"/>
    <col min="13" max="255" width="9.140625" style="1291"/>
    <col min="256" max="256" width="5.85546875" style="1291" customWidth="1"/>
    <col min="257" max="257" width="6" style="1291" customWidth="1"/>
    <col min="258" max="265" width="7.7109375" style="1291" customWidth="1"/>
    <col min="266" max="511" width="9.140625" style="1291"/>
    <col min="512" max="512" width="5.85546875" style="1291" customWidth="1"/>
    <col min="513" max="513" width="6" style="1291" customWidth="1"/>
    <col min="514" max="521" width="7.7109375" style="1291" customWidth="1"/>
    <col min="522" max="767" width="9.140625" style="1291"/>
    <col min="768" max="768" width="5.85546875" style="1291" customWidth="1"/>
    <col min="769" max="769" width="6" style="1291" customWidth="1"/>
    <col min="770" max="777" width="7.7109375" style="1291" customWidth="1"/>
    <col min="778" max="1023" width="9.140625" style="1291"/>
    <col min="1024" max="1024" width="5.85546875" style="1291" customWidth="1"/>
    <col min="1025" max="1025" width="6" style="1291" customWidth="1"/>
    <col min="1026" max="1033" width="7.7109375" style="1291" customWidth="1"/>
    <col min="1034" max="1279" width="9.140625" style="1291"/>
    <col min="1280" max="1280" width="5.85546875" style="1291" customWidth="1"/>
    <col min="1281" max="1281" width="6" style="1291" customWidth="1"/>
    <col min="1282" max="1289" width="7.7109375" style="1291" customWidth="1"/>
    <col min="1290" max="1535" width="9.140625" style="1291"/>
    <col min="1536" max="1536" width="5.85546875" style="1291" customWidth="1"/>
    <col min="1537" max="1537" width="6" style="1291" customWidth="1"/>
    <col min="1538" max="1545" width="7.7109375" style="1291" customWidth="1"/>
    <col min="1546" max="1791" width="9.140625" style="1291"/>
    <col min="1792" max="1792" width="5.85546875" style="1291" customWidth="1"/>
    <col min="1793" max="1793" width="6" style="1291" customWidth="1"/>
    <col min="1794" max="1801" width="7.7109375" style="1291" customWidth="1"/>
    <col min="1802" max="2047" width="9.140625" style="1291"/>
    <col min="2048" max="2048" width="5.85546875" style="1291" customWidth="1"/>
    <col min="2049" max="2049" width="6" style="1291" customWidth="1"/>
    <col min="2050" max="2057" width="7.7109375" style="1291" customWidth="1"/>
    <col min="2058" max="2303" width="9.140625" style="1291"/>
    <col min="2304" max="2304" width="5.85546875" style="1291" customWidth="1"/>
    <col min="2305" max="2305" width="6" style="1291" customWidth="1"/>
    <col min="2306" max="2313" width="7.7109375" style="1291" customWidth="1"/>
    <col min="2314" max="2559" width="9.140625" style="1291"/>
    <col min="2560" max="2560" width="5.85546875" style="1291" customWidth="1"/>
    <col min="2561" max="2561" width="6" style="1291" customWidth="1"/>
    <col min="2562" max="2569" width="7.7109375" style="1291" customWidth="1"/>
    <col min="2570" max="2815" width="9.140625" style="1291"/>
    <col min="2816" max="2816" width="5.85546875" style="1291" customWidth="1"/>
    <col min="2817" max="2817" width="6" style="1291" customWidth="1"/>
    <col min="2818" max="2825" width="7.7109375" style="1291" customWidth="1"/>
    <col min="2826" max="3071" width="9.140625" style="1291"/>
    <col min="3072" max="3072" width="5.85546875" style="1291" customWidth="1"/>
    <col min="3073" max="3073" width="6" style="1291" customWidth="1"/>
    <col min="3074" max="3081" width="7.7109375" style="1291" customWidth="1"/>
    <col min="3082" max="3327" width="9.140625" style="1291"/>
    <col min="3328" max="3328" width="5.85546875" style="1291" customWidth="1"/>
    <col min="3329" max="3329" width="6" style="1291" customWidth="1"/>
    <col min="3330" max="3337" width="7.7109375" style="1291" customWidth="1"/>
    <col min="3338" max="3583" width="9.140625" style="1291"/>
    <col min="3584" max="3584" width="5.85546875" style="1291" customWidth="1"/>
    <col min="3585" max="3585" width="6" style="1291" customWidth="1"/>
    <col min="3586" max="3593" width="7.7109375" style="1291" customWidth="1"/>
    <col min="3594" max="3839" width="9.140625" style="1291"/>
    <col min="3840" max="3840" width="5.85546875" style="1291" customWidth="1"/>
    <col min="3841" max="3841" width="6" style="1291" customWidth="1"/>
    <col min="3842" max="3849" width="7.7109375" style="1291" customWidth="1"/>
    <col min="3850" max="4095" width="9.140625" style="1291"/>
    <col min="4096" max="4096" width="5.85546875" style="1291" customWidth="1"/>
    <col min="4097" max="4097" width="6" style="1291" customWidth="1"/>
    <col min="4098" max="4105" width="7.7109375" style="1291" customWidth="1"/>
    <col min="4106" max="4351" width="9.140625" style="1291"/>
    <col min="4352" max="4352" width="5.85546875" style="1291" customWidth="1"/>
    <col min="4353" max="4353" width="6" style="1291" customWidth="1"/>
    <col min="4354" max="4361" width="7.7109375" style="1291" customWidth="1"/>
    <col min="4362" max="4607" width="9.140625" style="1291"/>
    <col min="4608" max="4608" width="5.85546875" style="1291" customWidth="1"/>
    <col min="4609" max="4609" width="6" style="1291" customWidth="1"/>
    <col min="4610" max="4617" width="7.7109375" style="1291" customWidth="1"/>
    <col min="4618" max="4863" width="9.140625" style="1291"/>
    <col min="4864" max="4864" width="5.85546875" style="1291" customWidth="1"/>
    <col min="4865" max="4865" width="6" style="1291" customWidth="1"/>
    <col min="4866" max="4873" width="7.7109375" style="1291" customWidth="1"/>
    <col min="4874" max="5119" width="9.140625" style="1291"/>
    <col min="5120" max="5120" width="5.85546875" style="1291" customWidth="1"/>
    <col min="5121" max="5121" width="6" style="1291" customWidth="1"/>
    <col min="5122" max="5129" width="7.7109375" style="1291" customWidth="1"/>
    <col min="5130" max="5375" width="9.140625" style="1291"/>
    <col min="5376" max="5376" width="5.85546875" style="1291" customWidth="1"/>
    <col min="5377" max="5377" width="6" style="1291" customWidth="1"/>
    <col min="5378" max="5385" width="7.7109375" style="1291" customWidth="1"/>
    <col min="5386" max="5631" width="9.140625" style="1291"/>
    <col min="5632" max="5632" width="5.85546875" style="1291" customWidth="1"/>
    <col min="5633" max="5633" width="6" style="1291" customWidth="1"/>
    <col min="5634" max="5641" width="7.7109375" style="1291" customWidth="1"/>
    <col min="5642" max="5887" width="9.140625" style="1291"/>
    <col min="5888" max="5888" width="5.85546875" style="1291" customWidth="1"/>
    <col min="5889" max="5889" width="6" style="1291" customWidth="1"/>
    <col min="5890" max="5897" width="7.7109375" style="1291" customWidth="1"/>
    <col min="5898" max="6143" width="9.140625" style="1291"/>
    <col min="6144" max="6144" width="5.85546875" style="1291" customWidth="1"/>
    <col min="6145" max="6145" width="6" style="1291" customWidth="1"/>
    <col min="6146" max="6153" width="7.7109375" style="1291" customWidth="1"/>
    <col min="6154" max="6399" width="9.140625" style="1291"/>
    <col min="6400" max="6400" width="5.85546875" style="1291" customWidth="1"/>
    <col min="6401" max="6401" width="6" style="1291" customWidth="1"/>
    <col min="6402" max="6409" width="7.7109375" style="1291" customWidth="1"/>
    <col min="6410" max="6655" width="9.140625" style="1291"/>
    <col min="6656" max="6656" width="5.85546875" style="1291" customWidth="1"/>
    <col min="6657" max="6657" width="6" style="1291" customWidth="1"/>
    <col min="6658" max="6665" width="7.7109375" style="1291" customWidth="1"/>
    <col min="6666" max="6911" width="9.140625" style="1291"/>
    <col min="6912" max="6912" width="5.85546875" style="1291" customWidth="1"/>
    <col min="6913" max="6913" width="6" style="1291" customWidth="1"/>
    <col min="6914" max="6921" width="7.7109375" style="1291" customWidth="1"/>
    <col min="6922" max="7167" width="9.140625" style="1291"/>
    <col min="7168" max="7168" width="5.85546875" style="1291" customWidth="1"/>
    <col min="7169" max="7169" width="6" style="1291" customWidth="1"/>
    <col min="7170" max="7177" width="7.7109375" style="1291" customWidth="1"/>
    <col min="7178" max="7423" width="9.140625" style="1291"/>
    <col min="7424" max="7424" width="5.85546875" style="1291" customWidth="1"/>
    <col min="7425" max="7425" width="6" style="1291" customWidth="1"/>
    <col min="7426" max="7433" width="7.7109375" style="1291" customWidth="1"/>
    <col min="7434" max="7679" width="9.140625" style="1291"/>
    <col min="7680" max="7680" width="5.85546875" style="1291" customWidth="1"/>
    <col min="7681" max="7681" width="6" style="1291" customWidth="1"/>
    <col min="7682" max="7689" width="7.7109375" style="1291" customWidth="1"/>
    <col min="7690" max="7935" width="9.140625" style="1291"/>
    <col min="7936" max="7936" width="5.85546875" style="1291" customWidth="1"/>
    <col min="7937" max="7937" width="6" style="1291" customWidth="1"/>
    <col min="7938" max="7945" width="7.7109375" style="1291" customWidth="1"/>
    <col min="7946" max="8191" width="9.140625" style="1291"/>
    <col min="8192" max="8192" width="5.85546875" style="1291" customWidth="1"/>
    <col min="8193" max="8193" width="6" style="1291" customWidth="1"/>
    <col min="8194" max="8201" width="7.7109375" style="1291" customWidth="1"/>
    <col min="8202" max="8447" width="9.140625" style="1291"/>
    <col min="8448" max="8448" width="5.85546875" style="1291" customWidth="1"/>
    <col min="8449" max="8449" width="6" style="1291" customWidth="1"/>
    <col min="8450" max="8457" width="7.7109375" style="1291" customWidth="1"/>
    <col min="8458" max="8703" width="9.140625" style="1291"/>
    <col min="8704" max="8704" width="5.85546875" style="1291" customWidth="1"/>
    <col min="8705" max="8705" width="6" style="1291" customWidth="1"/>
    <col min="8706" max="8713" width="7.7109375" style="1291" customWidth="1"/>
    <col min="8714" max="8959" width="9.140625" style="1291"/>
    <col min="8960" max="8960" width="5.85546875" style="1291" customWidth="1"/>
    <col min="8961" max="8961" width="6" style="1291" customWidth="1"/>
    <col min="8962" max="8969" width="7.7109375" style="1291" customWidth="1"/>
    <col min="8970" max="9215" width="9.140625" style="1291"/>
    <col min="9216" max="9216" width="5.85546875" style="1291" customWidth="1"/>
    <col min="9217" max="9217" width="6" style="1291" customWidth="1"/>
    <col min="9218" max="9225" width="7.7109375" style="1291" customWidth="1"/>
    <col min="9226" max="9471" width="9.140625" style="1291"/>
    <col min="9472" max="9472" width="5.85546875" style="1291" customWidth="1"/>
    <col min="9473" max="9473" width="6" style="1291" customWidth="1"/>
    <col min="9474" max="9481" width="7.7109375" style="1291" customWidth="1"/>
    <col min="9482" max="9727" width="9.140625" style="1291"/>
    <col min="9728" max="9728" width="5.85546875" style="1291" customWidth="1"/>
    <col min="9729" max="9729" width="6" style="1291" customWidth="1"/>
    <col min="9730" max="9737" width="7.7109375" style="1291" customWidth="1"/>
    <col min="9738" max="9983" width="9.140625" style="1291"/>
    <col min="9984" max="9984" width="5.85546875" style="1291" customWidth="1"/>
    <col min="9985" max="9985" width="6" style="1291" customWidth="1"/>
    <col min="9986" max="9993" width="7.7109375" style="1291" customWidth="1"/>
    <col min="9994" max="10239" width="9.140625" style="1291"/>
    <col min="10240" max="10240" width="5.85546875" style="1291" customWidth="1"/>
    <col min="10241" max="10241" width="6" style="1291" customWidth="1"/>
    <col min="10242" max="10249" width="7.7109375" style="1291" customWidth="1"/>
    <col min="10250" max="10495" width="9.140625" style="1291"/>
    <col min="10496" max="10496" width="5.85546875" style="1291" customWidth="1"/>
    <col min="10497" max="10497" width="6" style="1291" customWidth="1"/>
    <col min="10498" max="10505" width="7.7109375" style="1291" customWidth="1"/>
    <col min="10506" max="10751" width="9.140625" style="1291"/>
    <col min="10752" max="10752" width="5.85546875" style="1291" customWidth="1"/>
    <col min="10753" max="10753" width="6" style="1291" customWidth="1"/>
    <col min="10754" max="10761" width="7.7109375" style="1291" customWidth="1"/>
    <col min="10762" max="11007" width="9.140625" style="1291"/>
    <col min="11008" max="11008" width="5.85546875" style="1291" customWidth="1"/>
    <col min="11009" max="11009" width="6" style="1291" customWidth="1"/>
    <col min="11010" max="11017" width="7.7109375" style="1291" customWidth="1"/>
    <col min="11018" max="11263" width="9.140625" style="1291"/>
    <col min="11264" max="11264" width="5.85546875" style="1291" customWidth="1"/>
    <col min="11265" max="11265" width="6" style="1291" customWidth="1"/>
    <col min="11266" max="11273" width="7.7109375" style="1291" customWidth="1"/>
    <col min="11274" max="11519" width="9.140625" style="1291"/>
    <col min="11520" max="11520" width="5.85546875" style="1291" customWidth="1"/>
    <col min="11521" max="11521" width="6" style="1291" customWidth="1"/>
    <col min="11522" max="11529" width="7.7109375" style="1291" customWidth="1"/>
    <col min="11530" max="11775" width="9.140625" style="1291"/>
    <col min="11776" max="11776" width="5.85546875" style="1291" customWidth="1"/>
    <col min="11777" max="11777" width="6" style="1291" customWidth="1"/>
    <col min="11778" max="11785" width="7.7109375" style="1291" customWidth="1"/>
    <col min="11786" max="12031" width="9.140625" style="1291"/>
    <col min="12032" max="12032" width="5.85546875" style="1291" customWidth="1"/>
    <col min="12033" max="12033" width="6" style="1291" customWidth="1"/>
    <col min="12034" max="12041" width="7.7109375" style="1291" customWidth="1"/>
    <col min="12042" max="12287" width="9.140625" style="1291"/>
    <col min="12288" max="12288" width="5.85546875" style="1291" customWidth="1"/>
    <col min="12289" max="12289" width="6" style="1291" customWidth="1"/>
    <col min="12290" max="12297" width="7.7109375" style="1291" customWidth="1"/>
    <col min="12298" max="12543" width="9.140625" style="1291"/>
    <col min="12544" max="12544" width="5.85546875" style="1291" customWidth="1"/>
    <col min="12545" max="12545" width="6" style="1291" customWidth="1"/>
    <col min="12546" max="12553" width="7.7109375" style="1291" customWidth="1"/>
    <col min="12554" max="12799" width="9.140625" style="1291"/>
    <col min="12800" max="12800" width="5.85546875" style="1291" customWidth="1"/>
    <col min="12801" max="12801" width="6" style="1291" customWidth="1"/>
    <col min="12802" max="12809" width="7.7109375" style="1291" customWidth="1"/>
    <col min="12810" max="13055" width="9.140625" style="1291"/>
    <col min="13056" max="13056" width="5.85546875" style="1291" customWidth="1"/>
    <col min="13057" max="13057" width="6" style="1291" customWidth="1"/>
    <col min="13058" max="13065" width="7.7109375" style="1291" customWidth="1"/>
    <col min="13066" max="13311" width="9.140625" style="1291"/>
    <col min="13312" max="13312" width="5.85546875" style="1291" customWidth="1"/>
    <col min="13313" max="13313" width="6" style="1291" customWidth="1"/>
    <col min="13314" max="13321" width="7.7109375" style="1291" customWidth="1"/>
    <col min="13322" max="13567" width="9.140625" style="1291"/>
    <col min="13568" max="13568" width="5.85546875" style="1291" customWidth="1"/>
    <col min="13569" max="13569" width="6" style="1291" customWidth="1"/>
    <col min="13570" max="13577" width="7.7109375" style="1291" customWidth="1"/>
    <col min="13578" max="13823" width="9.140625" style="1291"/>
    <col min="13824" max="13824" width="5.85546875" style="1291" customWidth="1"/>
    <col min="13825" max="13825" width="6" style="1291" customWidth="1"/>
    <col min="13826" max="13833" width="7.7109375" style="1291" customWidth="1"/>
    <col min="13834" max="14079" width="9.140625" style="1291"/>
    <col min="14080" max="14080" width="5.85546875" style="1291" customWidth="1"/>
    <col min="14081" max="14081" width="6" style="1291" customWidth="1"/>
    <col min="14082" max="14089" width="7.7109375" style="1291" customWidth="1"/>
    <col min="14090" max="14335" width="9.140625" style="1291"/>
    <col min="14336" max="14336" width="5.85546875" style="1291" customWidth="1"/>
    <col min="14337" max="14337" width="6" style="1291" customWidth="1"/>
    <col min="14338" max="14345" width="7.7109375" style="1291" customWidth="1"/>
    <col min="14346" max="14591" width="9.140625" style="1291"/>
    <col min="14592" max="14592" width="5.85546875" style="1291" customWidth="1"/>
    <col min="14593" max="14593" width="6" style="1291" customWidth="1"/>
    <col min="14594" max="14601" width="7.7109375" style="1291" customWidth="1"/>
    <col min="14602" max="14847" width="9.140625" style="1291"/>
    <col min="14848" max="14848" width="5.85546875" style="1291" customWidth="1"/>
    <col min="14849" max="14849" width="6" style="1291" customWidth="1"/>
    <col min="14850" max="14857" width="7.7109375" style="1291" customWidth="1"/>
    <col min="14858" max="15103" width="9.140625" style="1291"/>
    <col min="15104" max="15104" width="5.85546875" style="1291" customWidth="1"/>
    <col min="15105" max="15105" width="6" style="1291" customWidth="1"/>
    <col min="15106" max="15113" width="7.7109375" style="1291" customWidth="1"/>
    <col min="15114" max="15359" width="9.140625" style="1291"/>
    <col min="15360" max="15360" width="5.85546875" style="1291" customWidth="1"/>
    <col min="15361" max="15361" width="6" style="1291" customWidth="1"/>
    <col min="15362" max="15369" width="7.7109375" style="1291" customWidth="1"/>
    <col min="15370" max="15615" width="9.140625" style="1291"/>
    <col min="15616" max="15616" width="5.85546875" style="1291" customWidth="1"/>
    <col min="15617" max="15617" width="6" style="1291" customWidth="1"/>
    <col min="15618" max="15625" width="7.7109375" style="1291" customWidth="1"/>
    <col min="15626" max="15871" width="9.140625" style="1291"/>
    <col min="15872" max="15872" width="5.85546875" style="1291" customWidth="1"/>
    <col min="15873" max="15873" width="6" style="1291" customWidth="1"/>
    <col min="15874" max="15881" width="7.7109375" style="1291" customWidth="1"/>
    <col min="15882" max="16127" width="9.140625" style="1291"/>
    <col min="16128" max="16128" width="5.85546875" style="1291" customWidth="1"/>
    <col min="16129" max="16129" width="6" style="1291" customWidth="1"/>
    <col min="16130" max="16137" width="7.7109375" style="1291" customWidth="1"/>
    <col min="16138" max="16384" width="9.140625" style="1291"/>
  </cols>
  <sheetData>
    <row r="1" spans="1:13" ht="19.5" customHeight="1">
      <c r="A1" s="1419" t="s">
        <v>2353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</row>
    <row r="2" spans="1:13">
      <c r="G2" s="1420"/>
      <c r="H2" s="1420"/>
      <c r="I2" s="1420"/>
    </row>
    <row r="3" spans="1:13" ht="17.25" customHeight="1">
      <c r="A3" s="1421" t="s">
        <v>2354</v>
      </c>
      <c r="B3" s="1422">
        <v>2012</v>
      </c>
      <c r="C3" s="1422"/>
      <c r="D3" s="1421" t="s">
        <v>2355</v>
      </c>
      <c r="E3" s="1422"/>
      <c r="F3" s="1422"/>
      <c r="G3" s="1422"/>
      <c r="H3" s="1422"/>
      <c r="I3" s="1422"/>
      <c r="J3" s="1423" t="s">
        <v>2356</v>
      </c>
      <c r="K3" s="1423"/>
      <c r="L3" s="1423"/>
    </row>
    <row r="4" spans="1:13" ht="15" customHeight="1">
      <c r="A4" s="1422"/>
      <c r="B4" s="1422"/>
      <c r="C4" s="1422"/>
      <c r="D4" s="1422" t="s">
        <v>2357</v>
      </c>
      <c r="E4" s="1422"/>
      <c r="F4" s="1422" t="s">
        <v>2358</v>
      </c>
      <c r="G4" s="1422"/>
      <c r="H4" s="1422" t="s">
        <v>2359</v>
      </c>
      <c r="I4" s="1422"/>
      <c r="J4" s="1424" t="s">
        <v>276</v>
      </c>
      <c r="K4" s="1292" t="s">
        <v>2360</v>
      </c>
      <c r="L4" s="1292" t="s">
        <v>2361</v>
      </c>
    </row>
    <row r="5" spans="1:13" ht="17.25" customHeight="1">
      <c r="A5" s="1422"/>
      <c r="B5" s="1293" t="s">
        <v>276</v>
      </c>
      <c r="C5" s="1293" t="s">
        <v>272</v>
      </c>
      <c r="D5" s="1293" t="s">
        <v>276</v>
      </c>
      <c r="E5" s="1293" t="s">
        <v>272</v>
      </c>
      <c r="F5" s="1293" t="s">
        <v>276</v>
      </c>
      <c r="G5" s="1293" t="s">
        <v>272</v>
      </c>
      <c r="H5" s="1293" t="s">
        <v>276</v>
      </c>
      <c r="I5" s="1293" t="s">
        <v>272</v>
      </c>
      <c r="J5" s="1425"/>
      <c r="K5" s="1293" t="s">
        <v>2362</v>
      </c>
      <c r="L5" s="1293" t="s">
        <v>272</v>
      </c>
    </row>
    <row r="6" spans="1:13" s="1297" customFormat="1" ht="20.25" customHeight="1">
      <c r="A6" s="1294" t="s">
        <v>1622</v>
      </c>
      <c r="B6" s="1294">
        <v>41678</v>
      </c>
      <c r="C6" s="1294">
        <v>21395</v>
      </c>
      <c r="D6" s="1295">
        <v>11109</v>
      </c>
      <c r="E6" s="1295">
        <v>5406</v>
      </c>
      <c r="F6" s="1295">
        <v>27985</v>
      </c>
      <c r="G6" s="1295">
        <v>14438</v>
      </c>
      <c r="H6" s="1295">
        <v>2584</v>
      </c>
      <c r="I6" s="1295">
        <v>1551</v>
      </c>
      <c r="J6" s="1296">
        <f>K6+L6</f>
        <v>25143</v>
      </c>
      <c r="K6" s="1296">
        <v>12543</v>
      </c>
      <c r="L6" s="1296">
        <v>12600</v>
      </c>
    </row>
    <row r="7" spans="1:13" s="1297" customFormat="1" ht="20.25" customHeight="1">
      <c r="A7" s="1294" t="s">
        <v>280</v>
      </c>
      <c r="B7" s="1294">
        <v>3026</v>
      </c>
      <c r="C7" s="1294">
        <v>1488</v>
      </c>
      <c r="D7" s="1295">
        <v>837</v>
      </c>
      <c r="E7" s="1295">
        <v>430</v>
      </c>
      <c r="F7" s="1295">
        <v>2018</v>
      </c>
      <c r="G7" s="1295">
        <v>963</v>
      </c>
      <c r="H7" s="1295">
        <v>171</v>
      </c>
      <c r="I7" s="1295">
        <v>95</v>
      </c>
      <c r="J7" s="1296">
        <f>K7+L7</f>
        <v>1800</v>
      </c>
      <c r="K7" s="1296">
        <v>979</v>
      </c>
      <c r="L7" s="1296">
        <v>821</v>
      </c>
    </row>
    <row r="8" spans="1:13" s="1297" customFormat="1" ht="20.25" customHeight="1">
      <c r="A8" s="1294" t="s">
        <v>281</v>
      </c>
      <c r="B8" s="1294">
        <v>2085</v>
      </c>
      <c r="C8" s="1294">
        <v>1009</v>
      </c>
      <c r="D8" s="1295">
        <v>535</v>
      </c>
      <c r="E8" s="1295">
        <v>262</v>
      </c>
      <c r="F8" s="1295">
        <v>1412</v>
      </c>
      <c r="G8" s="1295">
        <v>671</v>
      </c>
      <c r="H8" s="1295">
        <v>138</v>
      </c>
      <c r="I8" s="1295">
        <v>76</v>
      </c>
      <c r="J8" s="1296">
        <f>K8+L8</f>
        <v>1255</v>
      </c>
      <c r="K8" s="1296">
        <v>686</v>
      </c>
      <c r="L8" s="1296">
        <v>569</v>
      </c>
    </row>
    <row r="9" spans="1:13" s="1297" customFormat="1" ht="20.25" customHeight="1">
      <c r="A9" s="1294" t="s">
        <v>290</v>
      </c>
      <c r="B9" s="1294">
        <v>4469</v>
      </c>
      <c r="C9" s="1294">
        <v>2183</v>
      </c>
      <c r="D9" s="1295">
        <v>1294</v>
      </c>
      <c r="E9" s="1295">
        <v>648</v>
      </c>
      <c r="F9" s="1295">
        <v>2900</v>
      </c>
      <c r="G9" s="1295">
        <v>1378</v>
      </c>
      <c r="H9" s="1295">
        <v>275</v>
      </c>
      <c r="I9" s="1295">
        <v>157</v>
      </c>
      <c r="J9" s="1296">
        <f t="shared" ref="J9:J19" si="0">K9+L9</f>
        <v>2561</v>
      </c>
      <c r="K9" s="1296">
        <v>1393</v>
      </c>
      <c r="L9" s="1296">
        <v>1168</v>
      </c>
    </row>
    <row r="10" spans="1:13" s="1297" customFormat="1" ht="20.25" customHeight="1">
      <c r="A10" s="1294" t="s">
        <v>282</v>
      </c>
      <c r="B10" s="1294">
        <v>1674</v>
      </c>
      <c r="C10" s="1294">
        <v>811</v>
      </c>
      <c r="D10" s="1295">
        <v>426</v>
      </c>
      <c r="E10" s="1295">
        <v>204</v>
      </c>
      <c r="F10" s="1295">
        <v>1154</v>
      </c>
      <c r="G10" s="1295">
        <v>557</v>
      </c>
      <c r="H10" s="1295">
        <v>94</v>
      </c>
      <c r="I10" s="1295">
        <v>50</v>
      </c>
      <c r="J10" s="1296">
        <f t="shared" si="0"/>
        <v>1030</v>
      </c>
      <c r="K10" s="1296">
        <v>549</v>
      </c>
      <c r="L10" s="1296">
        <v>481</v>
      </c>
    </row>
    <row r="11" spans="1:13" s="1297" customFormat="1" ht="20.25" customHeight="1">
      <c r="A11" s="1294" t="s">
        <v>283</v>
      </c>
      <c r="B11" s="1294">
        <v>1349</v>
      </c>
      <c r="C11" s="1294">
        <v>632</v>
      </c>
      <c r="D11" s="1295">
        <v>375</v>
      </c>
      <c r="E11" s="1295">
        <v>177</v>
      </c>
      <c r="F11" s="1295">
        <v>904</v>
      </c>
      <c r="G11" s="1295">
        <v>423</v>
      </c>
      <c r="H11" s="1295">
        <v>70</v>
      </c>
      <c r="I11" s="1295">
        <v>32</v>
      </c>
      <c r="J11" s="1296">
        <f t="shared" si="0"/>
        <v>814</v>
      </c>
      <c r="K11" s="1296">
        <v>446</v>
      </c>
      <c r="L11" s="1296">
        <v>368</v>
      </c>
    </row>
    <row r="12" spans="1:13" s="1297" customFormat="1" ht="20.25" customHeight="1">
      <c r="A12" s="1294" t="s">
        <v>284</v>
      </c>
      <c r="B12" s="1294">
        <v>3272</v>
      </c>
      <c r="C12" s="1294">
        <v>1591</v>
      </c>
      <c r="D12" s="1295">
        <v>954</v>
      </c>
      <c r="E12" s="1295">
        <v>451</v>
      </c>
      <c r="F12" s="1295">
        <v>2152</v>
      </c>
      <c r="G12" s="1295">
        <v>1036</v>
      </c>
      <c r="H12" s="1295">
        <v>166</v>
      </c>
      <c r="I12" s="1295">
        <v>104</v>
      </c>
      <c r="J12" s="1296">
        <f t="shared" si="0"/>
        <v>1930</v>
      </c>
      <c r="K12" s="1296">
        <v>1031</v>
      </c>
      <c r="L12" s="1296">
        <v>899</v>
      </c>
    </row>
    <row r="13" spans="1:13" s="1297" customFormat="1" ht="20.25" customHeight="1">
      <c r="A13" s="1294" t="s">
        <v>285</v>
      </c>
      <c r="B13" s="1294">
        <v>2577</v>
      </c>
      <c r="C13" s="1294">
        <v>1240</v>
      </c>
      <c r="D13" s="1295">
        <v>781</v>
      </c>
      <c r="E13" s="1295">
        <v>373</v>
      </c>
      <c r="F13" s="1295">
        <v>1713</v>
      </c>
      <c r="G13" s="1295">
        <v>815</v>
      </c>
      <c r="H13" s="1295">
        <v>83</v>
      </c>
      <c r="I13" s="1295">
        <v>52</v>
      </c>
      <c r="J13" s="1296">
        <f t="shared" si="0"/>
        <v>1526</v>
      </c>
      <c r="K13" s="1296">
        <v>821</v>
      </c>
      <c r="L13" s="1296">
        <v>705</v>
      </c>
    </row>
    <row r="14" spans="1:13" s="1297" customFormat="1" ht="20.25" customHeight="1">
      <c r="A14" s="1294" t="s">
        <v>288</v>
      </c>
      <c r="B14" s="1294">
        <v>2032</v>
      </c>
      <c r="C14" s="1294">
        <v>984</v>
      </c>
      <c r="D14" s="1295">
        <v>542</v>
      </c>
      <c r="E14" s="1295">
        <v>271</v>
      </c>
      <c r="F14" s="1295">
        <v>1391</v>
      </c>
      <c r="G14" s="1295">
        <v>655</v>
      </c>
      <c r="H14" s="1295">
        <v>99</v>
      </c>
      <c r="I14" s="1295">
        <v>58</v>
      </c>
      <c r="J14" s="1296">
        <f t="shared" si="0"/>
        <v>1227</v>
      </c>
      <c r="K14" s="1296">
        <v>666</v>
      </c>
      <c r="L14" s="1296">
        <v>561</v>
      </c>
    </row>
    <row r="15" spans="1:13" s="1297" customFormat="1" ht="20.25" customHeight="1">
      <c r="A15" s="1294" t="s">
        <v>286</v>
      </c>
      <c r="B15" s="1294">
        <v>3085</v>
      </c>
      <c r="C15" s="1294">
        <v>1476</v>
      </c>
      <c r="D15" s="1295">
        <v>904</v>
      </c>
      <c r="E15" s="1295">
        <v>420</v>
      </c>
      <c r="F15" s="1295">
        <v>2049</v>
      </c>
      <c r="G15" s="1295">
        <v>976</v>
      </c>
      <c r="H15" s="1295">
        <v>132</v>
      </c>
      <c r="I15" s="1295">
        <v>80</v>
      </c>
      <c r="J15" s="1296">
        <f t="shared" si="0"/>
        <v>1828</v>
      </c>
      <c r="K15" s="1296">
        <v>985</v>
      </c>
      <c r="L15" s="1296">
        <v>843</v>
      </c>
    </row>
    <row r="16" spans="1:13" s="1297" customFormat="1" ht="20.25" customHeight="1">
      <c r="A16" s="1294" t="s">
        <v>287</v>
      </c>
      <c r="B16" s="1294">
        <v>1708</v>
      </c>
      <c r="C16" s="1294">
        <v>833</v>
      </c>
      <c r="D16" s="1295">
        <v>414</v>
      </c>
      <c r="E16" s="1295">
        <v>201</v>
      </c>
      <c r="F16" s="1295">
        <v>1208</v>
      </c>
      <c r="G16" s="1295">
        <v>581</v>
      </c>
      <c r="H16" s="1295">
        <v>86</v>
      </c>
      <c r="I16" s="1295">
        <v>51</v>
      </c>
      <c r="J16" s="1296">
        <f t="shared" si="0"/>
        <v>1073</v>
      </c>
      <c r="K16" s="1296">
        <v>573</v>
      </c>
      <c r="L16" s="1296">
        <v>500</v>
      </c>
    </row>
    <row r="17" spans="1:12" s="1297" customFormat="1" ht="20.25" customHeight="1">
      <c r="A17" s="1294" t="s">
        <v>289</v>
      </c>
      <c r="B17" s="1294">
        <v>3520</v>
      </c>
      <c r="C17" s="1294">
        <v>1709</v>
      </c>
      <c r="D17" s="1295">
        <v>1087</v>
      </c>
      <c r="E17" s="1295">
        <v>545</v>
      </c>
      <c r="F17" s="1295">
        <v>2275</v>
      </c>
      <c r="G17" s="1295">
        <v>1072</v>
      </c>
      <c r="H17" s="1295">
        <v>158</v>
      </c>
      <c r="I17" s="1295">
        <v>92</v>
      </c>
      <c r="J17" s="1296">
        <f t="shared" si="0"/>
        <v>2017</v>
      </c>
      <c r="K17" s="1296">
        <v>1099</v>
      </c>
      <c r="L17" s="1296">
        <v>918</v>
      </c>
    </row>
    <row r="18" spans="1:12" s="1297" customFormat="1" ht="20.25" customHeight="1">
      <c r="A18" s="1294" t="s">
        <v>291</v>
      </c>
      <c r="B18" s="1294">
        <v>2644</v>
      </c>
      <c r="C18" s="1294">
        <v>1306</v>
      </c>
      <c r="D18" s="1295">
        <v>749</v>
      </c>
      <c r="E18" s="1295">
        <v>367</v>
      </c>
      <c r="F18" s="1295">
        <v>1746</v>
      </c>
      <c r="G18" s="1295">
        <v>842</v>
      </c>
      <c r="H18" s="1295">
        <v>149</v>
      </c>
      <c r="I18" s="1295">
        <v>97</v>
      </c>
      <c r="J18" s="1296">
        <f t="shared" si="0"/>
        <v>1583</v>
      </c>
      <c r="K18" s="1296">
        <v>837</v>
      </c>
      <c r="L18" s="1296">
        <v>746</v>
      </c>
    </row>
    <row r="19" spans="1:12" s="1297" customFormat="1" ht="20.25" customHeight="1">
      <c r="A19" s="1294" t="s">
        <v>292</v>
      </c>
      <c r="B19" s="1294">
        <v>1604</v>
      </c>
      <c r="C19" s="1294">
        <v>784</v>
      </c>
      <c r="D19" s="1295">
        <v>483</v>
      </c>
      <c r="E19" s="1295">
        <v>230</v>
      </c>
      <c r="F19" s="1295">
        <v>1045</v>
      </c>
      <c r="G19" s="1295">
        <v>509</v>
      </c>
      <c r="H19" s="1295">
        <v>76</v>
      </c>
      <c r="I19" s="1295">
        <v>45</v>
      </c>
      <c r="J19" s="1296">
        <f t="shared" si="0"/>
        <v>925</v>
      </c>
      <c r="K19" s="1296">
        <v>495</v>
      </c>
      <c r="L19" s="1296">
        <v>430</v>
      </c>
    </row>
    <row r="20" spans="1:12" s="1297" customFormat="1" ht="20.25" customHeight="1">
      <c r="A20" s="1298" t="s">
        <v>269</v>
      </c>
      <c r="B20" s="1298">
        <f t="shared" ref="B20:I20" si="1">SUM(B6:B19)</f>
        <v>74723</v>
      </c>
      <c r="C20" s="1298">
        <f t="shared" si="1"/>
        <v>37441</v>
      </c>
      <c r="D20" s="1298">
        <f t="shared" si="1"/>
        <v>20490</v>
      </c>
      <c r="E20" s="1298">
        <f t="shared" si="1"/>
        <v>9985</v>
      </c>
      <c r="F20" s="1298">
        <v>49952</v>
      </c>
      <c r="G20" s="1298">
        <f t="shared" si="1"/>
        <v>24916</v>
      </c>
      <c r="H20" s="1298">
        <f t="shared" si="1"/>
        <v>4281</v>
      </c>
      <c r="I20" s="1298">
        <f t="shared" si="1"/>
        <v>2540</v>
      </c>
      <c r="J20" s="1296">
        <f>SUM(J6:J19)</f>
        <v>44712</v>
      </c>
      <c r="K20" s="1296">
        <v>23103</v>
      </c>
      <c r="L20" s="1296">
        <v>21609</v>
      </c>
    </row>
    <row r="29" spans="1:12">
      <c r="A29" s="1418">
        <v>22</v>
      </c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</row>
    <row r="41" spans="2:5">
      <c r="C41" s="1299" t="s">
        <v>2357</v>
      </c>
      <c r="D41" s="1299" t="s">
        <v>2358</v>
      </c>
      <c r="E41" s="1299" t="s">
        <v>1089</v>
      </c>
    </row>
    <row r="42" spans="2:5">
      <c r="B42" s="1291">
        <v>74723</v>
      </c>
      <c r="C42" s="1291">
        <v>20490</v>
      </c>
      <c r="D42" s="1291">
        <v>49952</v>
      </c>
      <c r="E42" s="1291">
        <v>4281</v>
      </c>
    </row>
  </sheetData>
  <mergeCells count="11">
    <mergeCell ref="A29:L29"/>
    <mergeCell ref="A1:M1"/>
    <mergeCell ref="G2:I2"/>
    <mergeCell ref="A3:A5"/>
    <mergeCell ref="B3:C4"/>
    <mergeCell ref="D3:I3"/>
    <mergeCell ref="J3:L3"/>
    <mergeCell ref="D4:E4"/>
    <mergeCell ref="F4:G4"/>
    <mergeCell ref="H4:I4"/>
    <mergeCell ref="J4:J5"/>
  </mergeCells>
  <pageMargins left="0.7" right="0.7" top="0.75" bottom="0.75" header="0.3" footer="0.3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J40"/>
  <sheetViews>
    <sheetView workbookViewId="0">
      <selection activeCell="Q25" sqref="Q25"/>
    </sheetView>
  </sheetViews>
  <sheetFormatPr defaultRowHeight="12.75"/>
  <cols>
    <col min="1" max="1" width="15.42578125" customWidth="1"/>
  </cols>
  <sheetData>
    <row r="2" spans="1:10">
      <c r="A2" s="1514" t="s">
        <v>2300</v>
      </c>
      <c r="B2" s="1514"/>
      <c r="C2" s="1514"/>
      <c r="D2" s="1514"/>
      <c r="E2" s="1514"/>
      <c r="F2" s="1514"/>
      <c r="G2" s="1514"/>
      <c r="H2" s="1514"/>
      <c r="I2" s="1514"/>
    </row>
    <row r="3" spans="1:10">
      <c r="I3" s="84"/>
    </row>
    <row r="4" spans="1:10">
      <c r="A4" s="87"/>
      <c r="B4" s="240"/>
      <c r="C4" s="2028" t="s">
        <v>275</v>
      </c>
      <c r="D4" s="2029"/>
      <c r="E4" s="2030"/>
      <c r="F4" s="240"/>
      <c r="G4" s="2028" t="s">
        <v>275</v>
      </c>
      <c r="H4" s="2030"/>
      <c r="I4" s="2031" t="s">
        <v>2234</v>
      </c>
      <c r="J4" s="2032"/>
    </row>
    <row r="5" spans="1:10" ht="102">
      <c r="A5" s="785" t="s">
        <v>58</v>
      </c>
      <c r="B5" s="1168" t="s">
        <v>2235</v>
      </c>
      <c r="C5" s="462" t="s">
        <v>2236</v>
      </c>
      <c r="D5" s="462" t="s">
        <v>2237</v>
      </c>
      <c r="E5" s="1167" t="s">
        <v>273</v>
      </c>
      <c r="F5" s="1168" t="s">
        <v>2238</v>
      </c>
      <c r="G5" s="1167" t="s">
        <v>2239</v>
      </c>
      <c r="H5" s="1167" t="s">
        <v>2240</v>
      </c>
      <c r="I5" s="462" t="s">
        <v>2241</v>
      </c>
      <c r="J5" s="1167" t="s">
        <v>2242</v>
      </c>
    </row>
    <row r="6" spans="1:10">
      <c r="A6" s="90" t="s">
        <v>277</v>
      </c>
      <c r="B6" s="293">
        <v>1</v>
      </c>
      <c r="C6" s="293">
        <v>2</v>
      </c>
      <c r="D6" s="293">
        <v>3</v>
      </c>
      <c r="E6" s="293">
        <v>4</v>
      </c>
      <c r="F6" s="293">
        <v>5</v>
      </c>
      <c r="G6" s="293">
        <v>6</v>
      </c>
      <c r="H6" s="293">
        <v>7</v>
      </c>
      <c r="I6" s="293">
        <v>8</v>
      </c>
      <c r="J6" s="293">
        <v>9</v>
      </c>
    </row>
    <row r="7" spans="1:10" ht="18" customHeight="1">
      <c r="A7" s="1227" t="s">
        <v>280</v>
      </c>
      <c r="B7" s="242">
        <f>SUM(C7:E7)</f>
        <v>80380</v>
      </c>
      <c r="C7" s="242"/>
      <c r="D7" s="242">
        <v>80380</v>
      </c>
      <c r="E7" s="242"/>
      <c r="F7" s="1230">
        <f>SUM(G7:H7)</f>
        <v>1539</v>
      </c>
      <c r="G7" s="1230">
        <v>2</v>
      </c>
      <c r="H7" s="1230">
        <v>1537</v>
      </c>
      <c r="I7" s="1230">
        <v>28</v>
      </c>
      <c r="J7" s="1230">
        <v>141</v>
      </c>
    </row>
    <row r="8" spans="1:10" ht="18" customHeight="1">
      <c r="A8" s="1227" t="s">
        <v>281</v>
      </c>
      <c r="B8" s="242">
        <f t="shared" ref="B8:B20" si="0">SUM(C8:E8)</f>
        <v>38500</v>
      </c>
      <c r="C8" s="242"/>
      <c r="D8" s="242">
        <v>38500</v>
      </c>
      <c r="E8" s="242"/>
      <c r="F8" s="1230">
        <f t="shared" ref="F8:F20" si="1">SUM(G8:H8)</f>
        <v>495</v>
      </c>
      <c r="G8" s="1230"/>
      <c r="H8" s="1230">
        <v>495</v>
      </c>
      <c r="I8" s="1230">
        <v>11</v>
      </c>
      <c r="J8" s="1230">
        <v>37</v>
      </c>
    </row>
    <row r="9" spans="1:10" ht="18" customHeight="1">
      <c r="A9" s="1227" t="s">
        <v>282</v>
      </c>
      <c r="B9" s="242">
        <f t="shared" si="0"/>
        <v>38500</v>
      </c>
      <c r="C9" s="242"/>
      <c r="D9" s="242">
        <v>38500</v>
      </c>
      <c r="E9" s="242"/>
      <c r="F9" s="1230">
        <f t="shared" si="1"/>
        <v>550</v>
      </c>
      <c r="G9" s="1230"/>
      <c r="H9" s="1230">
        <v>550</v>
      </c>
      <c r="I9" s="1230">
        <v>11</v>
      </c>
      <c r="J9" s="1230">
        <v>38</v>
      </c>
    </row>
    <row r="10" spans="1:10" ht="18" customHeight="1">
      <c r="A10" s="1227" t="s">
        <v>283</v>
      </c>
      <c r="B10" s="242">
        <f t="shared" si="0"/>
        <v>62980</v>
      </c>
      <c r="C10" s="242">
        <v>15200</v>
      </c>
      <c r="D10" s="242">
        <v>47780</v>
      </c>
      <c r="E10" s="242"/>
      <c r="F10" s="1230">
        <f t="shared" si="1"/>
        <v>960</v>
      </c>
      <c r="G10" s="1230">
        <v>2</v>
      </c>
      <c r="H10" s="1230">
        <v>958</v>
      </c>
      <c r="I10" s="1230">
        <v>18</v>
      </c>
      <c r="J10" s="1230">
        <v>69</v>
      </c>
    </row>
    <row r="11" spans="1:10" ht="18" customHeight="1">
      <c r="A11" s="1227" t="s">
        <v>284</v>
      </c>
      <c r="B11" s="242">
        <f t="shared" si="0"/>
        <v>60000</v>
      </c>
      <c r="C11" s="242"/>
      <c r="D11" s="242">
        <v>20000</v>
      </c>
      <c r="E11" s="242">
        <v>40000</v>
      </c>
      <c r="F11" s="1230">
        <f t="shared" si="1"/>
        <v>1261</v>
      </c>
      <c r="G11" s="1230">
        <v>9</v>
      </c>
      <c r="H11" s="1230">
        <v>1252</v>
      </c>
      <c r="I11" s="1230">
        <v>24</v>
      </c>
      <c r="J11" s="1230">
        <v>76</v>
      </c>
    </row>
    <row r="12" spans="1:10" ht="18" customHeight="1">
      <c r="A12" s="1227" t="s">
        <v>285</v>
      </c>
      <c r="B12" s="242">
        <f t="shared" si="0"/>
        <v>34450</v>
      </c>
      <c r="C12" s="242"/>
      <c r="D12" s="242">
        <v>22050</v>
      </c>
      <c r="E12" s="242">
        <v>12400</v>
      </c>
      <c r="F12" s="1230">
        <f t="shared" si="1"/>
        <v>658</v>
      </c>
      <c r="G12" s="1230">
        <v>16</v>
      </c>
      <c r="H12" s="1230">
        <v>642</v>
      </c>
      <c r="I12" s="1230">
        <v>18</v>
      </c>
      <c r="J12" s="1230">
        <v>65</v>
      </c>
    </row>
    <row r="13" spans="1:10" ht="18" customHeight="1">
      <c r="A13" s="1227" t="s">
        <v>286</v>
      </c>
      <c r="B13" s="242">
        <f t="shared" si="0"/>
        <v>17640</v>
      </c>
      <c r="C13" s="242"/>
      <c r="D13" s="242">
        <v>17640</v>
      </c>
      <c r="E13" s="242"/>
      <c r="F13" s="1230">
        <f t="shared" si="1"/>
        <v>1040</v>
      </c>
      <c r="G13" s="1230"/>
      <c r="H13" s="1230">
        <v>1040</v>
      </c>
      <c r="I13" s="1230">
        <v>27</v>
      </c>
      <c r="J13" s="1230">
        <v>103</v>
      </c>
    </row>
    <row r="14" spans="1:10" ht="18" customHeight="1">
      <c r="A14" s="1227" t="s">
        <v>287</v>
      </c>
      <c r="B14" s="242">
        <f t="shared" si="0"/>
        <v>63500</v>
      </c>
      <c r="C14" s="242"/>
      <c r="D14" s="242"/>
      <c r="E14" s="242">
        <v>63500</v>
      </c>
      <c r="F14" s="1230">
        <f t="shared" si="1"/>
        <v>868</v>
      </c>
      <c r="G14" s="1230">
        <v>4</v>
      </c>
      <c r="H14" s="1230">
        <v>864</v>
      </c>
      <c r="I14" s="1230">
        <v>21</v>
      </c>
      <c r="J14" s="1230">
        <v>102</v>
      </c>
    </row>
    <row r="15" spans="1:10" ht="18" customHeight="1">
      <c r="A15" s="1227" t="s">
        <v>288</v>
      </c>
      <c r="B15" s="242">
        <f t="shared" si="0"/>
        <v>74134</v>
      </c>
      <c r="C15" s="242"/>
      <c r="D15" s="242"/>
      <c r="E15" s="242">
        <v>74134</v>
      </c>
      <c r="F15" s="1230">
        <f t="shared" si="1"/>
        <v>1137</v>
      </c>
      <c r="G15" s="1230">
        <v>6</v>
      </c>
      <c r="H15" s="1230">
        <v>1131</v>
      </c>
      <c r="I15" s="1230">
        <v>37</v>
      </c>
      <c r="J15" s="1230">
        <v>155</v>
      </c>
    </row>
    <row r="16" spans="1:10" ht="18" customHeight="1">
      <c r="A16" s="1227" t="s">
        <v>289</v>
      </c>
      <c r="B16" s="242">
        <f t="shared" si="0"/>
        <v>52000</v>
      </c>
      <c r="C16" s="242">
        <v>52000</v>
      </c>
      <c r="D16" s="242"/>
      <c r="E16" s="242"/>
      <c r="F16" s="1230">
        <f t="shared" si="1"/>
        <v>842</v>
      </c>
      <c r="G16" s="1230"/>
      <c r="H16" s="1230">
        <v>842</v>
      </c>
      <c r="I16" s="1230">
        <v>17</v>
      </c>
      <c r="J16" s="1230">
        <v>78</v>
      </c>
    </row>
    <row r="17" spans="1:10" ht="18" customHeight="1">
      <c r="A17" s="1227" t="s">
        <v>290</v>
      </c>
      <c r="B17" s="242">
        <f t="shared" si="0"/>
        <v>47055.4</v>
      </c>
      <c r="C17" s="242">
        <v>3000</v>
      </c>
      <c r="D17" s="242">
        <v>44055.4</v>
      </c>
      <c r="E17" s="242"/>
      <c r="F17" s="1230">
        <f t="shared" si="1"/>
        <v>641</v>
      </c>
      <c r="G17" s="1230"/>
      <c r="H17" s="1230">
        <v>641</v>
      </c>
      <c r="I17" s="1230">
        <v>14</v>
      </c>
      <c r="J17" s="1230">
        <v>55</v>
      </c>
    </row>
    <row r="18" spans="1:10" ht="18" customHeight="1">
      <c r="A18" s="1227" t="s">
        <v>291</v>
      </c>
      <c r="B18" s="242">
        <f t="shared" si="0"/>
        <v>38500</v>
      </c>
      <c r="C18" s="242"/>
      <c r="D18" s="242">
        <v>38500</v>
      </c>
      <c r="E18" s="242"/>
      <c r="F18" s="1230">
        <f t="shared" si="1"/>
        <v>550</v>
      </c>
      <c r="G18" s="1230"/>
      <c r="H18" s="1230">
        <v>550</v>
      </c>
      <c r="I18" s="1230">
        <v>11</v>
      </c>
      <c r="J18" s="1230">
        <v>45</v>
      </c>
    </row>
    <row r="19" spans="1:10" ht="18" customHeight="1">
      <c r="A19" s="1228" t="s">
        <v>292</v>
      </c>
      <c r="B19" s="242">
        <f t="shared" si="0"/>
        <v>98240</v>
      </c>
      <c r="C19" s="242">
        <v>59740</v>
      </c>
      <c r="D19" s="242">
        <v>38500</v>
      </c>
      <c r="E19" s="242"/>
      <c r="F19" s="1230">
        <f t="shared" si="1"/>
        <v>1505</v>
      </c>
      <c r="G19" s="1230"/>
      <c r="H19" s="1230">
        <v>1505</v>
      </c>
      <c r="I19" s="1230">
        <v>38</v>
      </c>
      <c r="J19" s="1230">
        <v>124</v>
      </c>
    </row>
    <row r="20" spans="1:10" ht="18" customHeight="1">
      <c r="A20" s="1227" t="s">
        <v>293</v>
      </c>
      <c r="B20" s="242">
        <f t="shared" si="0"/>
        <v>29240</v>
      </c>
      <c r="C20" s="242">
        <v>9240</v>
      </c>
      <c r="D20" s="242"/>
      <c r="E20" s="242">
        <v>20000</v>
      </c>
      <c r="F20" s="1230">
        <f t="shared" si="1"/>
        <v>260</v>
      </c>
      <c r="G20" s="1230"/>
      <c r="H20" s="1230">
        <v>260</v>
      </c>
      <c r="I20" s="1230">
        <v>13</v>
      </c>
      <c r="J20" s="1230">
        <v>55</v>
      </c>
    </row>
    <row r="21" spans="1:10" ht="18" customHeight="1">
      <c r="A21" s="1229" t="s">
        <v>269</v>
      </c>
      <c r="B21" s="242">
        <f>SUM(B7:B20)</f>
        <v>735119.4</v>
      </c>
      <c r="C21" s="242">
        <f t="shared" ref="C21:J21" si="2">SUM(C7:C20)</f>
        <v>139180</v>
      </c>
      <c r="D21" s="242">
        <f t="shared" si="2"/>
        <v>385905.4</v>
      </c>
      <c r="E21" s="242">
        <f t="shared" si="2"/>
        <v>210034</v>
      </c>
      <c r="F21" s="1230">
        <f t="shared" si="2"/>
        <v>12306</v>
      </c>
      <c r="G21" s="1230">
        <f t="shared" si="2"/>
        <v>39</v>
      </c>
      <c r="H21" s="1230">
        <f t="shared" si="2"/>
        <v>12267</v>
      </c>
      <c r="I21" s="1230">
        <f t="shared" si="2"/>
        <v>288</v>
      </c>
      <c r="J21" s="1230">
        <f t="shared" si="2"/>
        <v>1143</v>
      </c>
    </row>
    <row r="22" spans="1:10" ht="18" customHeight="1">
      <c r="A22" s="1229" t="s">
        <v>1208</v>
      </c>
      <c r="B22" s="242">
        <v>154864</v>
      </c>
      <c r="C22" s="242">
        <v>68670</v>
      </c>
      <c r="D22" s="242">
        <v>79244</v>
      </c>
      <c r="E22" s="242">
        <v>6950</v>
      </c>
      <c r="F22" s="97">
        <v>3726</v>
      </c>
      <c r="G22" s="97">
        <v>6</v>
      </c>
      <c r="H22" s="97">
        <v>3720</v>
      </c>
      <c r="I22" s="97">
        <v>90</v>
      </c>
      <c r="J22" s="97">
        <v>346</v>
      </c>
    </row>
    <row r="40" spans="1:10">
      <c r="A40" s="1462">
        <v>82</v>
      </c>
      <c r="B40" s="1462"/>
      <c r="C40" s="1462"/>
      <c r="D40" s="1462"/>
      <c r="E40" s="1462"/>
      <c r="F40" s="1462"/>
      <c r="G40" s="1462"/>
      <c r="H40" s="1462"/>
      <c r="I40" s="1462"/>
      <c r="J40" s="1462"/>
    </row>
  </sheetData>
  <mergeCells count="5">
    <mergeCell ref="A2:I2"/>
    <mergeCell ref="C4:E4"/>
    <mergeCell ref="G4:H4"/>
    <mergeCell ref="I4:J4"/>
    <mergeCell ref="A40:J40"/>
  </mergeCells>
  <pageMargins left="0.7" right="0.16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L24"/>
  <sheetViews>
    <sheetView zoomScale="106" zoomScaleNormal="106" workbookViewId="0">
      <selection activeCell="N19" sqref="N19"/>
    </sheetView>
  </sheetViews>
  <sheetFormatPr defaultRowHeight="12.75"/>
  <cols>
    <col min="1" max="1" width="13.7109375" style="219" customWidth="1"/>
    <col min="2" max="2" width="6.42578125" style="219" customWidth="1"/>
    <col min="3" max="3" width="7.140625" style="219" customWidth="1"/>
    <col min="4" max="4" width="7.28515625" style="219" customWidth="1"/>
    <col min="5" max="5" width="6.85546875" style="219" customWidth="1"/>
    <col min="6" max="6" width="6.28515625" style="219" customWidth="1"/>
    <col min="7" max="7" width="6.5703125" style="219" customWidth="1"/>
    <col min="8" max="8" width="7.140625" style="219" customWidth="1"/>
    <col min="9" max="9" width="9.42578125" style="219" customWidth="1"/>
    <col min="10" max="10" width="6.85546875" style="219" customWidth="1"/>
    <col min="11" max="11" width="6.5703125" style="219" customWidth="1"/>
    <col min="12" max="12" width="7.85546875" style="219" customWidth="1"/>
    <col min="13" max="16384" width="9.140625" style="219"/>
  </cols>
  <sheetData>
    <row r="2" spans="1:12">
      <c r="A2" s="1412" t="s">
        <v>1026</v>
      </c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</row>
    <row r="4" spans="1:12" ht="23.25" customHeight="1">
      <c r="A4" s="2033" t="s">
        <v>649</v>
      </c>
      <c r="B4" s="2036">
        <v>2012</v>
      </c>
      <c r="C4" s="2039" t="s">
        <v>1027</v>
      </c>
      <c r="D4" s="2040"/>
      <c r="E4" s="2040"/>
      <c r="F4" s="2040"/>
      <c r="G4" s="2040"/>
      <c r="H4" s="2040"/>
      <c r="I4" s="2040"/>
      <c r="J4" s="2040"/>
      <c r="K4" s="2040"/>
      <c r="L4" s="2041"/>
    </row>
    <row r="5" spans="1:12" ht="52.5" customHeight="1">
      <c r="A5" s="2034"/>
      <c r="B5" s="2037"/>
      <c r="C5" s="1899" t="s">
        <v>1028</v>
      </c>
      <c r="D5" s="1899" t="s">
        <v>1029</v>
      </c>
      <c r="E5" s="1899" t="s">
        <v>1030</v>
      </c>
      <c r="F5" s="2036" t="s">
        <v>1031</v>
      </c>
      <c r="G5" s="1899" t="s">
        <v>1032</v>
      </c>
      <c r="H5" s="1899" t="s">
        <v>1033</v>
      </c>
      <c r="I5" s="1899" t="s">
        <v>1034</v>
      </c>
      <c r="J5" s="1899" t="s">
        <v>1035</v>
      </c>
      <c r="K5" s="1899" t="s">
        <v>1036</v>
      </c>
      <c r="L5" s="1899" t="s">
        <v>1037</v>
      </c>
    </row>
    <row r="6" spans="1:12" ht="45" customHeight="1">
      <c r="A6" s="2035"/>
      <c r="B6" s="2038"/>
      <c r="C6" s="1901"/>
      <c r="D6" s="1901"/>
      <c r="E6" s="1901"/>
      <c r="F6" s="2038"/>
      <c r="G6" s="1901"/>
      <c r="H6" s="1901"/>
      <c r="I6" s="1901"/>
      <c r="J6" s="1901"/>
      <c r="K6" s="1901"/>
      <c r="L6" s="1901"/>
    </row>
    <row r="7" spans="1:12" ht="23.25" customHeight="1">
      <c r="A7" s="540" t="s">
        <v>1038</v>
      </c>
      <c r="B7" s="305">
        <v>72</v>
      </c>
      <c r="C7" s="305">
        <v>12</v>
      </c>
      <c r="D7" s="305">
        <v>13</v>
      </c>
      <c r="E7" s="305">
        <v>3</v>
      </c>
      <c r="F7" s="305">
        <v>0</v>
      </c>
      <c r="G7" s="305">
        <v>1</v>
      </c>
      <c r="H7" s="305">
        <v>6</v>
      </c>
      <c r="I7" s="305">
        <v>18</v>
      </c>
      <c r="J7" s="305">
        <v>7</v>
      </c>
      <c r="K7" s="305">
        <v>6</v>
      </c>
      <c r="L7" s="305">
        <v>0</v>
      </c>
    </row>
    <row r="8" spans="1:12" ht="23.25" customHeight="1">
      <c r="A8" s="540" t="s">
        <v>589</v>
      </c>
      <c r="B8" s="305">
        <v>164</v>
      </c>
      <c r="C8" s="305">
        <v>46</v>
      </c>
      <c r="D8" s="305">
        <v>10</v>
      </c>
      <c r="E8" s="305">
        <v>99</v>
      </c>
      <c r="F8" s="305">
        <v>0</v>
      </c>
      <c r="G8" s="305">
        <v>2</v>
      </c>
      <c r="H8" s="305">
        <v>1</v>
      </c>
      <c r="I8" s="305">
        <v>1</v>
      </c>
      <c r="J8" s="305">
        <v>0</v>
      </c>
      <c r="K8" s="305">
        <v>0</v>
      </c>
      <c r="L8" s="305">
        <v>1</v>
      </c>
    </row>
    <row r="9" spans="1:12" ht="23.25" customHeight="1">
      <c r="A9" s="540" t="s">
        <v>630</v>
      </c>
      <c r="B9" s="305">
        <v>125</v>
      </c>
      <c r="C9" s="305">
        <v>76</v>
      </c>
      <c r="D9" s="305">
        <v>3</v>
      </c>
      <c r="E9" s="305">
        <v>8</v>
      </c>
      <c r="F9" s="305">
        <v>0</v>
      </c>
      <c r="G9" s="305">
        <v>0</v>
      </c>
      <c r="H9" s="305">
        <v>0</v>
      </c>
      <c r="I9" s="305">
        <v>8</v>
      </c>
      <c r="J9" s="305">
        <v>0</v>
      </c>
      <c r="K9" s="305">
        <v>2</v>
      </c>
      <c r="L9" s="305">
        <v>27</v>
      </c>
    </row>
    <row r="10" spans="1:12" ht="23.25" customHeight="1">
      <c r="A10" s="540" t="s">
        <v>590</v>
      </c>
      <c r="B10" s="305">
        <v>101</v>
      </c>
      <c r="C10" s="305">
        <v>65</v>
      </c>
      <c r="D10" s="305">
        <v>1</v>
      </c>
      <c r="E10" s="305">
        <v>0</v>
      </c>
      <c r="F10" s="305">
        <v>3</v>
      </c>
      <c r="G10" s="305">
        <v>1</v>
      </c>
      <c r="H10" s="305">
        <v>2</v>
      </c>
      <c r="I10" s="305">
        <v>9</v>
      </c>
      <c r="J10" s="305">
        <v>7</v>
      </c>
      <c r="K10" s="305">
        <v>0</v>
      </c>
      <c r="L10" s="305">
        <v>9</v>
      </c>
    </row>
    <row r="11" spans="1:12" ht="23.25" customHeight="1">
      <c r="A11" s="540" t="s">
        <v>591</v>
      </c>
      <c r="B11" s="305">
        <v>135</v>
      </c>
      <c r="C11" s="305">
        <v>31</v>
      </c>
      <c r="D11" s="305">
        <v>18</v>
      </c>
      <c r="E11" s="305">
        <v>12</v>
      </c>
      <c r="F11" s="305">
        <v>14</v>
      </c>
      <c r="G11" s="305">
        <v>12</v>
      </c>
      <c r="H11" s="305">
        <v>19</v>
      </c>
      <c r="I11" s="305">
        <v>8</v>
      </c>
      <c r="J11" s="305">
        <v>1</v>
      </c>
      <c r="K11" s="305">
        <v>1</v>
      </c>
      <c r="L11" s="305">
        <v>18</v>
      </c>
    </row>
    <row r="12" spans="1:12" ht="23.25" customHeight="1">
      <c r="A12" s="540" t="s">
        <v>592</v>
      </c>
      <c r="B12" s="305">
        <v>80</v>
      </c>
      <c r="C12" s="305">
        <v>15</v>
      </c>
      <c r="D12" s="305">
        <v>31</v>
      </c>
      <c r="E12" s="305">
        <v>18</v>
      </c>
      <c r="F12" s="305">
        <v>13</v>
      </c>
      <c r="G12" s="305">
        <v>0</v>
      </c>
      <c r="H12" s="305">
        <v>0</v>
      </c>
      <c r="I12" s="305">
        <v>3</v>
      </c>
      <c r="J12" s="305">
        <v>0</v>
      </c>
      <c r="K12" s="305">
        <v>0</v>
      </c>
      <c r="L12" s="305">
        <v>0</v>
      </c>
    </row>
    <row r="13" spans="1:12" ht="23.25" customHeight="1">
      <c r="A13" s="540" t="s">
        <v>1039</v>
      </c>
      <c r="B13" s="305">
        <v>186</v>
      </c>
      <c r="C13" s="305">
        <v>16</v>
      </c>
      <c r="D13" s="305">
        <v>165</v>
      </c>
      <c r="E13" s="305">
        <v>0</v>
      </c>
      <c r="F13" s="305">
        <v>2</v>
      </c>
      <c r="G13" s="305">
        <v>0</v>
      </c>
      <c r="H13" s="305">
        <v>0</v>
      </c>
      <c r="I13" s="305">
        <v>1</v>
      </c>
      <c r="J13" s="305">
        <v>0</v>
      </c>
      <c r="K13" s="305">
        <v>0</v>
      </c>
      <c r="L13" s="305">
        <v>0</v>
      </c>
    </row>
    <row r="14" spans="1:12" ht="23.25" customHeight="1">
      <c r="A14" s="540" t="s">
        <v>1040</v>
      </c>
      <c r="B14" s="305">
        <v>48</v>
      </c>
      <c r="C14" s="305">
        <v>16</v>
      </c>
      <c r="D14" s="305">
        <v>9</v>
      </c>
      <c r="E14" s="305">
        <v>3</v>
      </c>
      <c r="F14" s="305">
        <v>2</v>
      </c>
      <c r="G14" s="305">
        <v>6</v>
      </c>
      <c r="H14" s="305">
        <v>5</v>
      </c>
      <c r="I14" s="305">
        <v>1</v>
      </c>
      <c r="J14" s="305">
        <v>0</v>
      </c>
      <c r="K14" s="305">
        <v>0</v>
      </c>
      <c r="L14" s="305">
        <v>4</v>
      </c>
    </row>
    <row r="15" spans="1:12" ht="23.25" customHeight="1">
      <c r="A15" s="540" t="s">
        <v>595</v>
      </c>
      <c r="B15" s="305">
        <v>224</v>
      </c>
      <c r="C15" s="305">
        <v>157</v>
      </c>
      <c r="D15" s="305">
        <v>9</v>
      </c>
      <c r="E15" s="305">
        <v>3</v>
      </c>
      <c r="F15" s="305">
        <v>0</v>
      </c>
      <c r="G15" s="305">
        <v>0</v>
      </c>
      <c r="H15" s="305">
        <v>3</v>
      </c>
      <c r="I15" s="305">
        <v>13</v>
      </c>
      <c r="J15" s="305">
        <v>1</v>
      </c>
      <c r="K15" s="305">
        <v>3</v>
      </c>
      <c r="L15" s="305">
        <v>33</v>
      </c>
    </row>
    <row r="16" spans="1:12" ht="23.25" customHeight="1">
      <c r="A16" s="540" t="s">
        <v>596</v>
      </c>
      <c r="B16" s="305">
        <v>95</v>
      </c>
      <c r="C16" s="305">
        <v>47</v>
      </c>
      <c r="D16" s="305">
        <v>1</v>
      </c>
      <c r="E16" s="305">
        <v>6</v>
      </c>
      <c r="F16" s="305">
        <v>0</v>
      </c>
      <c r="G16" s="305">
        <v>4</v>
      </c>
      <c r="H16" s="305">
        <v>6</v>
      </c>
      <c r="I16" s="305">
        <v>0</v>
      </c>
      <c r="J16" s="305">
        <v>0</v>
      </c>
      <c r="K16" s="305">
        <v>0</v>
      </c>
      <c r="L16" s="305">
        <v>30</v>
      </c>
    </row>
    <row r="17" spans="1:12" ht="23.25" customHeight="1">
      <c r="A17" s="540" t="s">
        <v>632</v>
      </c>
      <c r="B17" s="305">
        <v>207</v>
      </c>
      <c r="C17" s="305">
        <v>93</v>
      </c>
      <c r="D17" s="305">
        <v>21</v>
      </c>
      <c r="E17" s="305">
        <v>30</v>
      </c>
      <c r="F17" s="305">
        <v>22</v>
      </c>
      <c r="G17" s="305">
        <v>1</v>
      </c>
      <c r="H17" s="305">
        <v>1</v>
      </c>
      <c r="I17" s="305">
        <v>26</v>
      </c>
      <c r="J17" s="305">
        <v>0</v>
      </c>
      <c r="K17" s="305">
        <v>1</v>
      </c>
      <c r="L17" s="305">
        <v>10</v>
      </c>
    </row>
    <row r="18" spans="1:12" ht="23.25" customHeight="1">
      <c r="A18" s="540" t="s">
        <v>597</v>
      </c>
      <c r="B18" s="305">
        <v>79</v>
      </c>
      <c r="C18" s="305">
        <v>11</v>
      </c>
      <c r="D18" s="305">
        <v>60</v>
      </c>
      <c r="E18" s="305">
        <v>2</v>
      </c>
      <c r="F18" s="305">
        <v>0</v>
      </c>
      <c r="G18" s="305">
        <v>0</v>
      </c>
      <c r="H18" s="305">
        <v>0</v>
      </c>
      <c r="I18" s="305">
        <v>1</v>
      </c>
      <c r="J18" s="305">
        <v>2</v>
      </c>
      <c r="K18" s="305">
        <v>2</v>
      </c>
      <c r="L18" s="305">
        <v>0</v>
      </c>
    </row>
    <row r="19" spans="1:12" ht="23.25" customHeight="1">
      <c r="A19" s="540" t="s">
        <v>1041</v>
      </c>
      <c r="B19" s="305">
        <v>112</v>
      </c>
      <c r="C19" s="305">
        <v>78</v>
      </c>
      <c r="D19" s="305">
        <v>4</v>
      </c>
      <c r="E19" s="305">
        <v>1</v>
      </c>
      <c r="F19" s="305">
        <v>0</v>
      </c>
      <c r="G19" s="305">
        <v>4</v>
      </c>
      <c r="H19" s="305">
        <v>12</v>
      </c>
      <c r="I19" s="305">
        <v>5</v>
      </c>
      <c r="J19" s="305">
        <v>0</v>
      </c>
      <c r="K19" s="305">
        <v>2</v>
      </c>
      <c r="L19" s="305">
        <v>3</v>
      </c>
    </row>
    <row r="20" spans="1:12" ht="23.25" customHeight="1">
      <c r="A20" s="540" t="s">
        <v>599</v>
      </c>
      <c r="B20" s="305">
        <v>665</v>
      </c>
      <c r="C20" s="305">
        <v>95</v>
      </c>
      <c r="D20" s="305">
        <v>453</v>
      </c>
      <c r="E20" s="305">
        <v>61</v>
      </c>
      <c r="F20" s="305">
        <v>13</v>
      </c>
      <c r="G20" s="305">
        <v>10</v>
      </c>
      <c r="H20" s="305">
        <v>3</v>
      </c>
      <c r="I20" s="305">
        <v>12</v>
      </c>
      <c r="J20" s="305">
        <v>6</v>
      </c>
      <c r="K20" s="305">
        <v>0</v>
      </c>
      <c r="L20" s="305">
        <v>8</v>
      </c>
    </row>
    <row r="21" spans="1:12" ht="23.25" customHeight="1">
      <c r="A21" s="540" t="s">
        <v>515</v>
      </c>
      <c r="B21" s="305">
        <f>SUM(B7:B20)</f>
        <v>2293</v>
      </c>
      <c r="C21" s="305">
        <f>SUM(C7:C20)</f>
        <v>758</v>
      </c>
      <c r="D21" s="305">
        <f t="shared" ref="D21:L21" si="0">SUM(D7:D20)</f>
        <v>798</v>
      </c>
      <c r="E21" s="305">
        <f t="shared" si="0"/>
        <v>246</v>
      </c>
      <c r="F21" s="305">
        <f t="shared" si="0"/>
        <v>69</v>
      </c>
      <c r="G21" s="305">
        <f t="shared" si="0"/>
        <v>41</v>
      </c>
      <c r="H21" s="305">
        <f t="shared" si="0"/>
        <v>58</v>
      </c>
      <c r="I21" s="305">
        <f t="shared" si="0"/>
        <v>106</v>
      </c>
      <c r="J21" s="305">
        <f t="shared" si="0"/>
        <v>24</v>
      </c>
      <c r="K21" s="305">
        <f t="shared" si="0"/>
        <v>17</v>
      </c>
      <c r="L21" s="305">
        <f t="shared" si="0"/>
        <v>143</v>
      </c>
    </row>
    <row r="22" spans="1:12">
      <c r="A22" s="491"/>
      <c r="B22" s="491"/>
      <c r="C22" s="491"/>
      <c r="D22" s="491"/>
      <c r="E22" s="491"/>
      <c r="F22" s="491"/>
      <c r="G22" s="491"/>
      <c r="H22" s="491"/>
      <c r="I22" s="491"/>
      <c r="J22" s="491"/>
      <c r="K22" s="491"/>
    </row>
    <row r="23" spans="1:12">
      <c r="A23" s="1412">
        <v>71</v>
      </c>
      <c r="B23" s="1412"/>
      <c r="C23" s="1412"/>
      <c r="D23" s="1412"/>
      <c r="E23" s="1412"/>
      <c r="F23" s="1412"/>
      <c r="G23" s="1412"/>
      <c r="H23" s="1412"/>
      <c r="I23" s="1412"/>
      <c r="J23" s="1412"/>
      <c r="K23" s="1412"/>
      <c r="L23" s="1412"/>
    </row>
    <row r="24" spans="1:12">
      <c r="A24" s="1412"/>
      <c r="B24" s="1412"/>
      <c r="C24" s="1412"/>
      <c r="D24" s="1412"/>
      <c r="E24" s="1412"/>
      <c r="F24" s="1412"/>
      <c r="G24" s="1412"/>
      <c r="H24" s="1412"/>
      <c r="I24" s="1412"/>
      <c r="J24" s="1412"/>
      <c r="K24" s="1412"/>
      <c r="L24" s="1412"/>
    </row>
  </sheetData>
  <mergeCells count="15">
    <mergeCell ref="A23:L24"/>
    <mergeCell ref="A2:L2"/>
    <mergeCell ref="A4:A6"/>
    <mergeCell ref="B4:B6"/>
    <mergeCell ref="C4:L4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Z16"/>
  <sheetViews>
    <sheetView zoomScale="90" zoomScaleNormal="90" workbookViewId="0">
      <selection activeCell="V4" sqref="V4:V6"/>
    </sheetView>
  </sheetViews>
  <sheetFormatPr defaultRowHeight="12.75"/>
  <cols>
    <col min="1" max="1" width="6.42578125" style="276" customWidth="1"/>
    <col min="2" max="2" width="3.140625" style="276" customWidth="1"/>
    <col min="3" max="3" width="4.140625" style="276" customWidth="1"/>
    <col min="4" max="4" width="4.85546875" style="276" customWidth="1"/>
    <col min="5" max="5" width="3.42578125" style="276" customWidth="1"/>
    <col min="6" max="6" width="3.5703125" style="276" customWidth="1"/>
    <col min="7" max="7" width="3.140625" style="276" customWidth="1"/>
    <col min="8" max="8" width="3" style="276" customWidth="1"/>
    <col min="9" max="10" width="3.28515625" style="276" customWidth="1"/>
    <col min="11" max="11" width="3" style="276" customWidth="1"/>
    <col min="12" max="12" width="2.42578125" style="276" customWidth="1"/>
    <col min="13" max="13" width="2.7109375" style="276" customWidth="1"/>
    <col min="14" max="14" width="3.28515625" style="276" customWidth="1"/>
    <col min="15" max="15" width="3.42578125" style="276" customWidth="1"/>
    <col min="16" max="16" width="3.5703125" style="276" customWidth="1"/>
    <col min="17" max="17" width="3.140625" style="276" customWidth="1"/>
    <col min="18" max="18" width="3" style="276" customWidth="1"/>
    <col min="19" max="20" width="3.140625" style="276" customWidth="1"/>
    <col min="21" max="21" width="4.28515625" style="276" customWidth="1"/>
    <col min="22" max="22" width="5.140625" style="276" customWidth="1"/>
    <col min="23" max="23" width="3.7109375" style="276" customWidth="1"/>
    <col min="24" max="24" width="3.28515625" style="276" customWidth="1"/>
    <col min="25" max="25" width="4.85546875" style="276" customWidth="1"/>
    <col min="26" max="26" width="3.85546875" style="276" customWidth="1"/>
    <col min="27" max="27" width="4.140625" style="276" customWidth="1"/>
    <col min="28" max="28" width="4.28515625" style="276" customWidth="1"/>
    <col min="29" max="30" width="3.85546875" style="276" customWidth="1"/>
    <col min="31" max="31" width="3.28515625" style="276" customWidth="1"/>
    <col min="32" max="32" width="4" style="276" customWidth="1"/>
    <col min="33" max="34" width="3.85546875" style="276" customWidth="1"/>
    <col min="35" max="35" width="3.5703125" style="276" customWidth="1"/>
    <col min="36" max="36" width="3.7109375" style="276" customWidth="1"/>
    <col min="37" max="37" width="3.140625" style="276" customWidth="1"/>
    <col min="38" max="38" width="3.85546875" style="276" customWidth="1"/>
    <col min="39" max="39" width="4" style="276" customWidth="1"/>
    <col min="40" max="40" width="4.140625" style="276" customWidth="1"/>
    <col min="41" max="41" width="4.42578125" style="276" customWidth="1"/>
    <col min="42" max="42" width="3.42578125" style="276" customWidth="1"/>
    <col min="43" max="43" width="3.5703125" style="276" customWidth="1"/>
    <col min="44" max="44" width="3.28515625" style="276" customWidth="1"/>
    <col min="45" max="45" width="4" style="276" customWidth="1"/>
    <col min="46" max="46" width="3.7109375" style="276" customWidth="1"/>
    <col min="47" max="16384" width="9.140625" style="276"/>
  </cols>
  <sheetData>
    <row r="1" spans="1:52">
      <c r="A1" s="2052" t="s">
        <v>1224</v>
      </c>
      <c r="B1" s="2052"/>
      <c r="C1" s="2052"/>
      <c r="D1" s="2052"/>
      <c r="E1" s="2052"/>
      <c r="F1" s="2052"/>
      <c r="G1" s="2052"/>
      <c r="H1" s="2052"/>
      <c r="I1" s="2052"/>
      <c r="J1" s="2052"/>
      <c r="K1" s="2052"/>
      <c r="L1" s="2052"/>
      <c r="M1" s="2052"/>
      <c r="N1" s="2052"/>
      <c r="O1" s="2052"/>
      <c r="P1" s="2052"/>
      <c r="Q1" s="2052"/>
      <c r="R1" s="2052"/>
      <c r="S1" s="2052"/>
      <c r="T1" s="2052"/>
      <c r="U1" s="2052"/>
      <c r="V1" s="2052"/>
      <c r="W1" s="2052"/>
      <c r="X1" s="2052"/>
      <c r="Y1" s="2052"/>
      <c r="Z1" s="2052"/>
      <c r="AA1" s="2052"/>
      <c r="AB1" s="2052"/>
      <c r="AC1" s="2052"/>
      <c r="AD1" s="2052"/>
      <c r="AE1" s="2052"/>
      <c r="AF1" s="2052"/>
      <c r="AG1" s="2052"/>
      <c r="AH1" s="2052"/>
      <c r="AI1" s="2052"/>
      <c r="AJ1" s="2052"/>
      <c r="AK1" s="2052"/>
      <c r="AL1" s="2052"/>
      <c r="AM1" s="2052"/>
      <c r="AN1" s="2052"/>
      <c r="AO1" s="2052"/>
      <c r="AP1" s="2052"/>
      <c r="AQ1" s="2052"/>
      <c r="AR1" s="2052"/>
      <c r="AS1" s="2052"/>
      <c r="AT1" s="2052"/>
    </row>
    <row r="2" spans="1:52">
      <c r="A2" s="2053" t="s">
        <v>1042</v>
      </c>
      <c r="B2" s="2053"/>
      <c r="C2" s="2053"/>
      <c r="D2" s="2053"/>
      <c r="E2" s="2053"/>
      <c r="F2" s="2053"/>
      <c r="G2" s="2053"/>
      <c r="H2" s="2053"/>
      <c r="I2" s="2053"/>
      <c r="J2" s="2053"/>
      <c r="K2" s="2053"/>
      <c r="L2" s="2053"/>
      <c r="M2" s="2053"/>
      <c r="N2" s="2053"/>
      <c r="O2" s="2053"/>
      <c r="P2" s="2053"/>
      <c r="Q2" s="2053"/>
      <c r="R2" s="2053"/>
      <c r="S2" s="2053"/>
      <c r="T2" s="2053"/>
      <c r="U2" s="2053"/>
      <c r="V2" s="2053"/>
      <c r="W2" s="2053"/>
      <c r="X2" s="2053"/>
      <c r="Y2" s="2053"/>
      <c r="Z2" s="2053"/>
      <c r="AA2" s="2053"/>
      <c r="AB2" s="2053"/>
      <c r="AC2" s="2053"/>
      <c r="AD2" s="2053"/>
      <c r="AE2" s="2053"/>
      <c r="AF2" s="2053"/>
      <c r="AG2" s="2053"/>
      <c r="AH2" s="2053"/>
      <c r="AI2" s="2053"/>
      <c r="AJ2" s="2053"/>
      <c r="AK2" s="2053"/>
      <c r="AL2" s="2053"/>
      <c r="AM2" s="2053"/>
      <c r="AN2" s="2053"/>
      <c r="AO2" s="2053"/>
      <c r="AP2" s="2053"/>
      <c r="AQ2" s="2053"/>
      <c r="AR2" s="2053"/>
      <c r="AS2" s="2053"/>
      <c r="AT2" s="2053"/>
    </row>
    <row r="3" spans="1:52">
      <c r="E3" s="277"/>
      <c r="F3" s="277"/>
      <c r="H3" s="308"/>
      <c r="S3" s="357"/>
      <c r="V3" s="492"/>
      <c r="W3" s="357"/>
      <c r="X3" s="492"/>
      <c r="Y3" s="492"/>
      <c r="Z3" s="492"/>
      <c r="AA3" s="492"/>
      <c r="AB3" s="493"/>
      <c r="AC3" s="493"/>
      <c r="AD3" s="493"/>
      <c r="AE3" s="494"/>
      <c r="AF3" s="494"/>
      <c r="AG3" s="494"/>
      <c r="AH3" s="494"/>
      <c r="AI3" s="494"/>
      <c r="AJ3" s="494"/>
      <c r="AK3" s="494"/>
      <c r="AL3" s="494"/>
      <c r="AM3" s="494"/>
      <c r="AN3" s="495"/>
      <c r="AO3" s="495"/>
      <c r="AP3" s="495"/>
      <c r="AQ3" s="495"/>
      <c r="AR3" s="495"/>
    </row>
    <row r="4" spans="1:52">
      <c r="A4" s="2057"/>
      <c r="B4" s="2058" t="s">
        <v>960</v>
      </c>
      <c r="C4" s="2059" t="s">
        <v>1044</v>
      </c>
      <c r="D4" s="2060" t="s">
        <v>1045</v>
      </c>
      <c r="E4" s="1254"/>
      <c r="F4" s="1255"/>
      <c r="G4" s="2061" t="s">
        <v>1046</v>
      </c>
      <c r="H4" s="2061"/>
      <c r="I4" s="2061"/>
      <c r="J4" s="2061"/>
      <c r="K4" s="2061"/>
      <c r="L4" s="2061"/>
      <c r="M4" s="2061"/>
      <c r="N4" s="2061"/>
      <c r="O4" s="2061"/>
      <c r="P4" s="2061"/>
      <c r="Q4" s="2061"/>
      <c r="R4" s="2061"/>
      <c r="S4" s="2061"/>
      <c r="T4" s="2061"/>
      <c r="U4" s="2062"/>
      <c r="V4" s="2054" t="s">
        <v>1047</v>
      </c>
      <c r="W4" s="2046" t="s">
        <v>1048</v>
      </c>
      <c r="X4" s="2049" t="s">
        <v>1049</v>
      </c>
      <c r="Y4" s="2044"/>
      <c r="Z4" s="2044"/>
      <c r="AA4" s="2044"/>
      <c r="AB4" s="2044"/>
      <c r="AC4" s="2044"/>
      <c r="AD4" s="2044"/>
      <c r="AE4" s="2044"/>
      <c r="AF4" s="2044"/>
      <c r="AG4" s="2044" t="s">
        <v>1050</v>
      </c>
      <c r="AH4" s="2044"/>
      <c r="AI4" s="2044"/>
      <c r="AJ4" s="2044"/>
      <c r="AK4" s="2044" t="s">
        <v>1051</v>
      </c>
      <c r="AL4" s="2044"/>
      <c r="AM4" s="2044"/>
      <c r="AN4" s="2044"/>
      <c r="AO4" s="2044"/>
      <c r="AP4" s="2044"/>
      <c r="AQ4" s="2044"/>
      <c r="AR4" s="2045"/>
      <c r="AS4" s="2043" t="s">
        <v>2316</v>
      </c>
      <c r="AT4" s="2043" t="s">
        <v>962</v>
      </c>
    </row>
    <row r="5" spans="1:52">
      <c r="A5" s="2057"/>
      <c r="B5" s="2058"/>
      <c r="C5" s="2059"/>
      <c r="D5" s="2060"/>
      <c r="E5" s="1256"/>
      <c r="F5" s="1257"/>
      <c r="G5" s="2050" t="s">
        <v>1052</v>
      </c>
      <c r="H5" s="2050" t="s">
        <v>1053</v>
      </c>
      <c r="I5" s="2050" t="s">
        <v>1054</v>
      </c>
      <c r="J5" s="2050" t="s">
        <v>1055</v>
      </c>
      <c r="K5" s="2050" t="s">
        <v>1056</v>
      </c>
      <c r="L5" s="2050" t="s">
        <v>1057</v>
      </c>
      <c r="M5" s="2050" t="s">
        <v>1058</v>
      </c>
      <c r="N5" s="2050" t="s">
        <v>1059</v>
      </c>
      <c r="O5" s="2056" t="s">
        <v>1060</v>
      </c>
      <c r="P5" s="2056"/>
      <c r="Q5" s="2056"/>
      <c r="R5" s="2056"/>
      <c r="S5" s="2056"/>
      <c r="T5" s="2056"/>
      <c r="U5" s="2056"/>
      <c r="V5" s="2055"/>
      <c r="W5" s="2047"/>
      <c r="X5" s="2043" t="s">
        <v>1061</v>
      </c>
      <c r="Y5" s="2043" t="s">
        <v>1062</v>
      </c>
      <c r="Z5" s="2043" t="s">
        <v>1063</v>
      </c>
      <c r="AA5" s="2043" t="s">
        <v>1064</v>
      </c>
      <c r="AB5" s="2043" t="s">
        <v>1065</v>
      </c>
      <c r="AC5" s="2043" t="s">
        <v>1066</v>
      </c>
      <c r="AD5" s="2043" t="s">
        <v>1067</v>
      </c>
      <c r="AE5" s="2043" t="s">
        <v>1068</v>
      </c>
      <c r="AF5" s="2043" t="s">
        <v>1069</v>
      </c>
      <c r="AG5" s="2044"/>
      <c r="AH5" s="2044"/>
      <c r="AI5" s="2044"/>
      <c r="AJ5" s="2044"/>
      <c r="AK5" s="2043" t="s">
        <v>1070</v>
      </c>
      <c r="AL5" s="2043" t="s">
        <v>1071</v>
      </c>
      <c r="AM5" s="2043" t="s">
        <v>1072</v>
      </c>
      <c r="AN5" s="2043" t="s">
        <v>1073</v>
      </c>
      <c r="AO5" s="2043" t="s">
        <v>1074</v>
      </c>
      <c r="AP5" s="2043" t="s">
        <v>1075</v>
      </c>
      <c r="AQ5" s="2043" t="s">
        <v>1076</v>
      </c>
      <c r="AR5" s="2042" t="s">
        <v>1077</v>
      </c>
      <c r="AS5" s="2043"/>
      <c r="AT5" s="2043"/>
    </row>
    <row r="6" spans="1:52" ht="280.5" customHeight="1">
      <c r="A6" s="2057"/>
      <c r="B6" s="2058"/>
      <c r="C6" s="2059"/>
      <c r="D6" s="2060"/>
      <c r="E6" s="1257" t="s">
        <v>1078</v>
      </c>
      <c r="F6" s="1258" t="s">
        <v>1045</v>
      </c>
      <c r="G6" s="2051"/>
      <c r="H6" s="2051"/>
      <c r="I6" s="2051"/>
      <c r="J6" s="2051"/>
      <c r="K6" s="2051"/>
      <c r="L6" s="2051"/>
      <c r="M6" s="2051"/>
      <c r="N6" s="2051"/>
      <c r="O6" s="1259" t="s">
        <v>1079</v>
      </c>
      <c r="P6" s="1259" t="s">
        <v>1080</v>
      </c>
      <c r="Q6" s="1259" t="s">
        <v>1081</v>
      </c>
      <c r="R6" s="1259" t="s">
        <v>1082</v>
      </c>
      <c r="S6" s="1259" t="s">
        <v>1083</v>
      </c>
      <c r="T6" s="1259" t="s">
        <v>1084</v>
      </c>
      <c r="U6" s="1259" t="s">
        <v>616</v>
      </c>
      <c r="V6" s="2055"/>
      <c r="W6" s="2048"/>
      <c r="X6" s="2043"/>
      <c r="Y6" s="2043"/>
      <c r="Z6" s="2043"/>
      <c r="AA6" s="2043"/>
      <c r="AB6" s="2043"/>
      <c r="AC6" s="2043"/>
      <c r="AD6" s="2043"/>
      <c r="AE6" s="2043"/>
      <c r="AF6" s="2043"/>
      <c r="AG6" s="1259" t="s">
        <v>1085</v>
      </c>
      <c r="AH6" s="1259" t="s">
        <v>1086</v>
      </c>
      <c r="AI6" s="1259" t="s">
        <v>1087</v>
      </c>
      <c r="AJ6" s="1259" t="s">
        <v>1088</v>
      </c>
      <c r="AK6" s="2043"/>
      <c r="AL6" s="2043"/>
      <c r="AM6" s="2043"/>
      <c r="AN6" s="2043"/>
      <c r="AO6" s="2043"/>
      <c r="AP6" s="2043"/>
      <c r="AQ6" s="2043"/>
      <c r="AR6" s="2042"/>
      <c r="AS6" s="2043"/>
      <c r="AT6" s="2043"/>
      <c r="AU6" s="497"/>
      <c r="AV6" s="497"/>
      <c r="AW6" s="497"/>
      <c r="AX6" s="497"/>
      <c r="AY6" s="497"/>
      <c r="AZ6" s="497"/>
    </row>
    <row r="7" spans="1:52">
      <c r="A7" s="1260" t="s">
        <v>8</v>
      </c>
      <c r="B7" s="1261" t="s">
        <v>1011</v>
      </c>
      <c r="C7" s="1262">
        <v>1</v>
      </c>
      <c r="D7" s="1263">
        <v>2</v>
      </c>
      <c r="E7" s="1260">
        <v>3</v>
      </c>
      <c r="F7" s="1263">
        <v>4</v>
      </c>
      <c r="G7" s="1260">
        <v>5</v>
      </c>
      <c r="H7" s="1263">
        <v>6</v>
      </c>
      <c r="I7" s="1260">
        <v>7</v>
      </c>
      <c r="J7" s="1263">
        <v>8</v>
      </c>
      <c r="K7" s="1260">
        <v>9</v>
      </c>
      <c r="L7" s="1263">
        <v>10</v>
      </c>
      <c r="M7" s="1260">
        <v>11</v>
      </c>
      <c r="N7" s="1263">
        <v>12</v>
      </c>
      <c r="O7" s="1260">
        <v>13</v>
      </c>
      <c r="P7" s="1263">
        <v>14</v>
      </c>
      <c r="Q7" s="1260">
        <v>15</v>
      </c>
      <c r="R7" s="1263">
        <v>16</v>
      </c>
      <c r="S7" s="1260">
        <v>17</v>
      </c>
      <c r="T7" s="1263">
        <v>18</v>
      </c>
      <c r="U7" s="1260">
        <v>19</v>
      </c>
      <c r="V7" s="1263">
        <v>20</v>
      </c>
      <c r="W7" s="1260">
        <v>21</v>
      </c>
      <c r="X7" s="1263">
        <v>22</v>
      </c>
      <c r="Y7" s="1260">
        <v>23</v>
      </c>
      <c r="Z7" s="1263">
        <v>24</v>
      </c>
      <c r="AA7" s="1260">
        <v>25</v>
      </c>
      <c r="AB7" s="1263">
        <v>26</v>
      </c>
      <c r="AC7" s="1260">
        <v>27</v>
      </c>
      <c r="AD7" s="1263">
        <v>28</v>
      </c>
      <c r="AE7" s="1260">
        <v>29</v>
      </c>
      <c r="AF7" s="1263">
        <v>30</v>
      </c>
      <c r="AG7" s="1260">
        <v>31</v>
      </c>
      <c r="AH7" s="1263">
        <v>32</v>
      </c>
      <c r="AI7" s="1260">
        <v>33</v>
      </c>
      <c r="AJ7" s="1263">
        <v>34</v>
      </c>
      <c r="AK7" s="1260">
        <v>36</v>
      </c>
      <c r="AL7" s="1263">
        <v>37</v>
      </c>
      <c r="AM7" s="1260">
        <v>38</v>
      </c>
      <c r="AN7" s="1263">
        <v>39</v>
      </c>
      <c r="AO7" s="1260">
        <v>40</v>
      </c>
      <c r="AP7" s="1263">
        <v>41</v>
      </c>
      <c r="AQ7" s="1260">
        <v>42</v>
      </c>
      <c r="AR7" s="1264">
        <v>43</v>
      </c>
      <c r="AS7" s="1265">
        <v>44</v>
      </c>
      <c r="AT7" s="1265"/>
      <c r="AU7" s="497"/>
      <c r="AV7" s="497"/>
      <c r="AW7" s="497"/>
      <c r="AX7" s="497"/>
      <c r="AY7" s="497"/>
      <c r="AZ7" s="497"/>
    </row>
    <row r="8" spans="1:52" s="311" customFormat="1" ht="13.5" customHeight="1">
      <c r="A8" s="1266" t="s">
        <v>2317</v>
      </c>
      <c r="B8" s="1267">
        <v>1</v>
      </c>
      <c r="C8" s="1267"/>
      <c r="D8" s="1267"/>
      <c r="E8" s="1267"/>
      <c r="F8" s="1267"/>
      <c r="G8" s="1267"/>
      <c r="H8" s="1267"/>
      <c r="I8" s="1267"/>
      <c r="J8" s="1267"/>
      <c r="K8" s="1267"/>
      <c r="L8" s="1267"/>
      <c r="M8" s="1267"/>
      <c r="N8" s="1267"/>
      <c r="O8" s="1267"/>
      <c r="P8" s="1267"/>
      <c r="Q8" s="1267"/>
      <c r="R8" s="1267"/>
      <c r="S8" s="1267"/>
      <c r="T8" s="1267"/>
      <c r="U8" s="1267"/>
      <c r="V8" s="1268"/>
      <c r="W8" s="1268"/>
      <c r="X8" s="1268"/>
      <c r="Y8" s="1268"/>
      <c r="Z8" s="1268"/>
      <c r="AA8" s="1268"/>
      <c r="AB8" s="1268"/>
      <c r="AC8" s="1268"/>
      <c r="AD8" s="1268"/>
      <c r="AE8" s="1268"/>
      <c r="AF8" s="1268"/>
      <c r="AG8" s="1268"/>
      <c r="AH8" s="1268"/>
      <c r="AI8" s="1268"/>
      <c r="AJ8" s="1268"/>
      <c r="AK8" s="1268"/>
      <c r="AL8" s="1268"/>
      <c r="AM8" s="1268"/>
      <c r="AN8" s="1268"/>
      <c r="AO8" s="1268"/>
      <c r="AP8" s="1268"/>
      <c r="AQ8" s="1268"/>
      <c r="AR8" s="1269"/>
      <c r="AS8" s="1270"/>
      <c r="AT8" s="1270"/>
    </row>
    <row r="9" spans="1:52" s="311" customFormat="1" ht="21" customHeight="1">
      <c r="A9" s="1271" t="s">
        <v>1106</v>
      </c>
      <c r="B9" s="1272">
        <v>2</v>
      </c>
      <c r="C9" s="1272">
        <v>1638</v>
      </c>
      <c r="D9" s="1272">
        <v>767</v>
      </c>
      <c r="E9" s="1272">
        <v>73</v>
      </c>
      <c r="F9" s="1272">
        <v>29</v>
      </c>
      <c r="G9" s="1272">
        <v>4</v>
      </c>
      <c r="H9" s="1272">
        <v>8</v>
      </c>
      <c r="I9" s="1272">
        <v>12</v>
      </c>
      <c r="J9" s="1272">
        <v>0</v>
      </c>
      <c r="K9" s="1272">
        <v>0</v>
      </c>
      <c r="L9" s="1272">
        <v>0</v>
      </c>
      <c r="M9" s="1272">
        <v>0</v>
      </c>
      <c r="N9" s="1272">
        <v>0</v>
      </c>
      <c r="O9" s="1272">
        <v>0</v>
      </c>
      <c r="P9" s="1272">
        <v>0</v>
      </c>
      <c r="Q9" s="1272">
        <v>0</v>
      </c>
      <c r="R9" s="1272">
        <v>0</v>
      </c>
      <c r="S9" s="1272">
        <v>1</v>
      </c>
      <c r="T9" s="1272">
        <v>0</v>
      </c>
      <c r="U9" s="1272">
        <v>48</v>
      </c>
      <c r="V9" s="1273">
        <v>77</v>
      </c>
      <c r="W9" s="1273">
        <v>77</v>
      </c>
      <c r="X9" s="1273">
        <v>0</v>
      </c>
      <c r="Y9" s="1273">
        <v>38</v>
      </c>
      <c r="Z9" s="1273">
        <v>0</v>
      </c>
      <c r="AA9" s="1273">
        <v>0</v>
      </c>
      <c r="AB9" s="1273">
        <v>32</v>
      </c>
      <c r="AC9" s="1273">
        <v>0</v>
      </c>
      <c r="AD9" s="1273">
        <v>0</v>
      </c>
      <c r="AE9" s="1273">
        <v>7</v>
      </c>
      <c r="AF9" s="1273">
        <v>0</v>
      </c>
      <c r="AG9" s="1273">
        <v>29</v>
      </c>
      <c r="AH9" s="1273">
        <v>26</v>
      </c>
      <c r="AI9" s="1273">
        <v>16</v>
      </c>
      <c r="AJ9" s="1273">
        <v>6</v>
      </c>
      <c r="AK9" s="1273">
        <v>0</v>
      </c>
      <c r="AL9" s="1273">
        <v>5</v>
      </c>
      <c r="AM9" s="1273">
        <v>1</v>
      </c>
      <c r="AN9" s="1273">
        <v>1</v>
      </c>
      <c r="AO9" s="1273">
        <v>49</v>
      </c>
      <c r="AP9" s="1273">
        <v>14</v>
      </c>
      <c r="AQ9" s="1273">
        <v>7</v>
      </c>
      <c r="AR9" s="1274">
        <v>0</v>
      </c>
      <c r="AS9" s="1275">
        <v>1634</v>
      </c>
      <c r="AT9" s="1275">
        <v>761</v>
      </c>
    </row>
    <row r="10" spans="1:52" s="1106" customFormat="1" ht="21" customHeight="1">
      <c r="A10" s="1271" t="s">
        <v>1162</v>
      </c>
      <c r="B10" s="1272">
        <v>3</v>
      </c>
      <c r="C10" s="1272">
        <v>767</v>
      </c>
      <c r="D10" s="1272">
        <v>26043</v>
      </c>
      <c r="E10" s="1272">
        <v>45</v>
      </c>
      <c r="F10" s="1272">
        <v>7107</v>
      </c>
      <c r="G10" s="1272">
        <v>2</v>
      </c>
      <c r="H10" s="1272">
        <v>5</v>
      </c>
      <c r="I10" s="1272">
        <v>7</v>
      </c>
      <c r="J10" s="1272">
        <v>0</v>
      </c>
      <c r="K10" s="1272">
        <v>0</v>
      </c>
      <c r="L10" s="1272">
        <v>0</v>
      </c>
      <c r="M10" s="1272">
        <v>0</v>
      </c>
      <c r="N10" s="1272">
        <v>0</v>
      </c>
      <c r="O10" s="1272">
        <v>0</v>
      </c>
      <c r="P10" s="1272">
        <v>0</v>
      </c>
      <c r="Q10" s="1272">
        <v>0</v>
      </c>
      <c r="R10" s="1272">
        <v>0</v>
      </c>
      <c r="S10" s="1272">
        <v>1</v>
      </c>
      <c r="T10" s="1272">
        <v>0</v>
      </c>
      <c r="U10" s="1272">
        <v>30</v>
      </c>
      <c r="V10" s="1276">
        <v>51</v>
      </c>
      <c r="W10" s="1276">
        <v>51</v>
      </c>
      <c r="X10" s="1276">
        <v>0</v>
      </c>
      <c r="Y10" s="1276">
        <v>16</v>
      </c>
      <c r="Z10" s="1276">
        <v>0</v>
      </c>
      <c r="AA10" s="1276">
        <v>0</v>
      </c>
      <c r="AB10" s="1276">
        <v>29</v>
      </c>
      <c r="AC10" s="1276">
        <v>0</v>
      </c>
      <c r="AD10" s="1276">
        <v>0</v>
      </c>
      <c r="AE10" s="1276">
        <v>6</v>
      </c>
      <c r="AF10" s="1276">
        <v>0</v>
      </c>
      <c r="AG10" s="1276">
        <v>18</v>
      </c>
      <c r="AH10" s="1276">
        <v>16</v>
      </c>
      <c r="AI10" s="1276">
        <v>13</v>
      </c>
      <c r="AJ10" s="1276">
        <v>4</v>
      </c>
      <c r="AK10" s="1276">
        <v>0</v>
      </c>
      <c r="AL10" s="1276">
        <v>5</v>
      </c>
      <c r="AM10" s="1276">
        <v>1</v>
      </c>
      <c r="AN10" s="1276">
        <v>1</v>
      </c>
      <c r="AO10" s="1276">
        <v>36</v>
      </c>
      <c r="AP10" s="1276">
        <v>6</v>
      </c>
      <c r="AQ10" s="1276">
        <v>2</v>
      </c>
      <c r="AR10" s="1277">
        <v>0</v>
      </c>
      <c r="AS10" s="1278">
        <v>761</v>
      </c>
      <c r="AT10" s="1278"/>
    </row>
    <row r="16" spans="1:52">
      <c r="Q16" s="496"/>
    </row>
  </sheetData>
  <mergeCells count="40">
    <mergeCell ref="AS4:AS6"/>
    <mergeCell ref="AT4:AT6"/>
    <mergeCell ref="A1:AT1"/>
    <mergeCell ref="A2:AT2"/>
    <mergeCell ref="V4:V6"/>
    <mergeCell ref="O5:U5"/>
    <mergeCell ref="M5:M6"/>
    <mergeCell ref="N5:N6"/>
    <mergeCell ref="A4:A6"/>
    <mergeCell ref="B4:B6"/>
    <mergeCell ref="C4:C6"/>
    <mergeCell ref="D4:D6"/>
    <mergeCell ref="G4:U4"/>
    <mergeCell ref="G5:G6"/>
    <mergeCell ref="H5:H6"/>
    <mergeCell ref="I5:I6"/>
    <mergeCell ref="J5:J6"/>
    <mergeCell ref="K5:K6"/>
    <mergeCell ref="L5:L6"/>
    <mergeCell ref="X5:X6"/>
    <mergeCell ref="Y5:Y6"/>
    <mergeCell ref="Z5:Z6"/>
    <mergeCell ref="W4:W6"/>
    <mergeCell ref="X4:AF4"/>
    <mergeCell ref="AA5:AA6"/>
    <mergeCell ref="AB5:AB6"/>
    <mergeCell ref="AC5:AC6"/>
    <mergeCell ref="AD5:AD6"/>
    <mergeCell ref="AE5:AE6"/>
    <mergeCell ref="AR5:AR6"/>
    <mergeCell ref="AF5:AF6"/>
    <mergeCell ref="AK5:AK6"/>
    <mergeCell ref="AL5:AL6"/>
    <mergeCell ref="AM5:AM6"/>
    <mergeCell ref="AN5:AN6"/>
    <mergeCell ref="AO5:AO6"/>
    <mergeCell ref="AG4:AJ5"/>
    <mergeCell ref="AK4:AR4"/>
    <mergeCell ref="AP5:AP6"/>
    <mergeCell ref="AQ5:AQ6"/>
  </mergeCells>
  <pageMargins left="0.26" right="0.26" top="0.41" bottom="0.19" header="0.3" footer="0.16"/>
  <pageSetup scale="80" orientation="landscape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K52" sqref="K52"/>
    </sheetView>
  </sheetViews>
  <sheetFormatPr defaultRowHeight="12.75"/>
  <sheetData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7"/>
  <sheetViews>
    <sheetView workbookViewId="0">
      <selection activeCell="H38" sqref="H38"/>
    </sheetView>
  </sheetViews>
  <sheetFormatPr defaultRowHeight="12.75"/>
  <sheetData>
    <row r="1" spans="1:14">
      <c r="A1" s="1427" t="s">
        <v>2363</v>
      </c>
      <c r="B1" s="1428"/>
      <c r="C1" s="1428"/>
      <c r="D1" s="1428"/>
      <c r="E1" s="1428"/>
      <c r="F1" s="1300"/>
      <c r="G1" s="1429" t="s">
        <v>2364</v>
      </c>
      <c r="H1" s="1429"/>
      <c r="I1" s="1429"/>
      <c r="J1" s="1429"/>
      <c r="K1" s="1429"/>
      <c r="L1" s="1300"/>
      <c r="M1" s="1300"/>
      <c r="N1" s="1300"/>
    </row>
    <row r="2" spans="1:14">
      <c r="A2" s="1430" t="s">
        <v>2373</v>
      </c>
      <c r="B2" s="1430" t="s">
        <v>2365</v>
      </c>
      <c r="C2" s="1431"/>
      <c r="D2" s="1431"/>
      <c r="E2" s="1430" t="s">
        <v>2374</v>
      </c>
      <c r="F2" s="1301"/>
      <c r="G2" s="1302" t="s">
        <v>268</v>
      </c>
      <c r="H2" s="1303">
        <v>2006</v>
      </c>
      <c r="I2" s="1303">
        <v>2007</v>
      </c>
      <c r="J2" s="1303">
        <v>2008</v>
      </c>
      <c r="K2" s="1303">
        <v>2009</v>
      </c>
      <c r="L2" s="1303">
        <v>2010</v>
      </c>
      <c r="M2" s="1303">
        <v>2011</v>
      </c>
      <c r="N2" s="1303">
        <v>2012</v>
      </c>
    </row>
    <row r="3" spans="1:14" ht="24">
      <c r="A3" s="1431"/>
      <c r="B3" s="1304" t="s">
        <v>2366</v>
      </c>
      <c r="C3" s="1304" t="s">
        <v>2367</v>
      </c>
      <c r="D3" s="1304" t="s">
        <v>2368</v>
      </c>
      <c r="E3" s="1431"/>
      <c r="F3" s="1301"/>
      <c r="G3" s="1302" t="s">
        <v>1598</v>
      </c>
      <c r="H3" s="1303">
        <v>74570</v>
      </c>
      <c r="I3" s="1303">
        <v>74194</v>
      </c>
      <c r="J3" s="1303">
        <v>74514</v>
      </c>
      <c r="K3" s="1303">
        <v>73893</v>
      </c>
      <c r="L3" s="1303">
        <v>74473</v>
      </c>
      <c r="M3" s="1303">
        <v>75036</v>
      </c>
      <c r="N3" s="1303">
        <v>74723</v>
      </c>
    </row>
    <row r="4" spans="1:14">
      <c r="A4" s="1302">
        <v>2001</v>
      </c>
      <c r="B4" s="1305">
        <v>35807</v>
      </c>
      <c r="C4" s="1305">
        <v>37131</v>
      </c>
      <c r="D4" s="1305">
        <f>SUM(B4:C4)</f>
        <v>72938</v>
      </c>
      <c r="E4" s="1306">
        <f t="shared" ref="E4:E15" si="0">B4/C4*100</f>
        <v>96.434246317093525</v>
      </c>
      <c r="F4" s="1301"/>
      <c r="G4" s="1303" t="s">
        <v>2369</v>
      </c>
      <c r="H4" s="1307">
        <v>36339</v>
      </c>
      <c r="I4" s="1307">
        <v>36274</v>
      </c>
      <c r="J4" s="1303">
        <v>36579</v>
      </c>
      <c r="K4" s="1303">
        <v>36458</v>
      </c>
      <c r="L4" s="1303">
        <v>36885</v>
      </c>
      <c r="M4" s="1303">
        <v>37212</v>
      </c>
      <c r="N4" s="1303">
        <v>37282</v>
      </c>
    </row>
    <row r="5" spans="1:14">
      <c r="A5" s="1302">
        <v>2002</v>
      </c>
      <c r="B5" s="1305">
        <v>35540</v>
      </c>
      <c r="C5" s="1305">
        <v>37495</v>
      </c>
      <c r="D5" s="1305">
        <f>SUM(B5:C5)</f>
        <v>73035</v>
      </c>
      <c r="E5" s="1306">
        <f t="shared" si="0"/>
        <v>94.785971462861724</v>
      </c>
      <c r="F5" s="1301"/>
      <c r="G5" s="1303" t="s">
        <v>2370</v>
      </c>
      <c r="H5" s="1307">
        <v>38231</v>
      </c>
      <c r="I5" s="1307">
        <v>37920</v>
      </c>
      <c r="J5" s="1303">
        <v>37935</v>
      </c>
      <c r="K5" s="1303">
        <v>37435</v>
      </c>
      <c r="L5" s="1303">
        <v>37588</v>
      </c>
      <c r="M5" s="1303">
        <v>37824</v>
      </c>
      <c r="N5" s="1308">
        <v>37441</v>
      </c>
    </row>
    <row r="6" spans="1:14">
      <c r="A6" s="1302">
        <v>2003</v>
      </c>
      <c r="B6" s="1305">
        <v>35420</v>
      </c>
      <c r="C6" s="1305">
        <v>37250</v>
      </c>
      <c r="D6" s="1305">
        <f>SUM(B6:C6)</f>
        <v>72670</v>
      </c>
      <c r="E6" s="1306">
        <f t="shared" si="0"/>
        <v>95.087248322147659</v>
      </c>
      <c r="F6" s="1301"/>
      <c r="G6" s="1303"/>
      <c r="H6" s="1307"/>
      <c r="I6" s="1307"/>
      <c r="J6" s="1303"/>
      <c r="K6" s="1303"/>
      <c r="L6" s="1303"/>
      <c r="M6" s="1307"/>
      <c r="N6" s="1309"/>
    </row>
    <row r="7" spans="1:14">
      <c r="A7" s="1302">
        <v>2004</v>
      </c>
      <c r="B7" s="1305">
        <v>36001</v>
      </c>
      <c r="C7" s="1305">
        <v>37954</v>
      </c>
      <c r="D7" s="1305">
        <f>SUM(B7:C7)</f>
        <v>73955</v>
      </c>
      <c r="E7" s="1306">
        <f t="shared" si="0"/>
        <v>94.854297307266691</v>
      </c>
      <c r="F7" s="1301"/>
      <c r="G7" s="1303" t="s">
        <v>513</v>
      </c>
      <c r="H7" s="1307">
        <v>39783</v>
      </c>
      <c r="I7" s="1307">
        <v>39523</v>
      </c>
      <c r="J7" s="1303">
        <v>38114</v>
      </c>
      <c r="K7" s="1303">
        <v>39398</v>
      </c>
      <c r="L7" s="1303">
        <v>40807</v>
      </c>
      <c r="M7" s="1307">
        <v>40986</v>
      </c>
      <c r="N7" s="1310">
        <v>41628</v>
      </c>
    </row>
    <row r="8" spans="1:14">
      <c r="A8" s="1302">
        <v>2005</v>
      </c>
      <c r="B8" s="1305">
        <v>36079</v>
      </c>
      <c r="C8" s="1305">
        <v>37902</v>
      </c>
      <c r="D8" s="1305">
        <f>SUM(B8:C8)</f>
        <v>73981</v>
      </c>
      <c r="E8" s="1306">
        <f t="shared" si="0"/>
        <v>95.190227428631729</v>
      </c>
      <c r="F8" s="1301"/>
      <c r="G8" s="1303" t="s">
        <v>2369</v>
      </c>
      <c r="H8" s="1307">
        <v>18954</v>
      </c>
      <c r="I8" s="1307">
        <v>18856</v>
      </c>
      <c r="J8" s="1303">
        <v>18315</v>
      </c>
      <c r="K8" s="1303">
        <v>18958</v>
      </c>
      <c r="L8" s="1303">
        <v>19631</v>
      </c>
      <c r="M8" s="1307">
        <v>19762</v>
      </c>
      <c r="N8" s="1310">
        <v>20146</v>
      </c>
    </row>
    <row r="9" spans="1:14">
      <c r="A9" s="1302">
        <v>2006</v>
      </c>
      <c r="B9" s="1305">
        <v>36339</v>
      </c>
      <c r="C9" s="1305">
        <v>38231</v>
      </c>
      <c r="D9" s="1305">
        <v>74570</v>
      </c>
      <c r="E9" s="1306">
        <f t="shared" si="0"/>
        <v>95.051136512254459</v>
      </c>
      <c r="F9" s="1301"/>
      <c r="G9" s="1303" t="s">
        <v>2370</v>
      </c>
      <c r="H9" s="1307">
        <v>20829</v>
      </c>
      <c r="I9" s="1307">
        <v>20667</v>
      </c>
      <c r="J9" s="1303">
        <v>19829</v>
      </c>
      <c r="K9" s="1303">
        <v>20447</v>
      </c>
      <c r="L9" s="1303">
        <v>21176</v>
      </c>
      <c r="M9" s="1307">
        <v>21224</v>
      </c>
      <c r="N9" s="1310">
        <v>21482</v>
      </c>
    </row>
    <row r="10" spans="1:14">
      <c r="A10" s="1302">
        <v>2007</v>
      </c>
      <c r="B10" s="1305">
        <v>36274</v>
      </c>
      <c r="C10" s="1305">
        <v>37920</v>
      </c>
      <c r="D10" s="1305">
        <v>74194</v>
      </c>
      <c r="E10" s="1306">
        <f t="shared" si="0"/>
        <v>95.65928270042194</v>
      </c>
      <c r="F10" s="1301"/>
      <c r="G10" s="1303"/>
      <c r="H10" s="1307"/>
      <c r="I10" s="1307"/>
      <c r="J10" s="1303"/>
      <c r="K10" s="1303"/>
      <c r="L10" s="1303"/>
      <c r="M10" s="1307"/>
      <c r="N10" s="1309"/>
    </row>
    <row r="11" spans="1:14">
      <c r="A11" s="1302">
        <v>2008</v>
      </c>
      <c r="B11" s="1305">
        <v>36579</v>
      </c>
      <c r="C11" s="1305">
        <v>37935</v>
      </c>
      <c r="D11" s="1305">
        <v>74514</v>
      </c>
      <c r="E11" s="1306">
        <f t="shared" si="0"/>
        <v>96.425464610517992</v>
      </c>
      <c r="F11" s="1301"/>
      <c r="G11" s="1303" t="s">
        <v>2371</v>
      </c>
      <c r="H11" s="1307">
        <v>34787</v>
      </c>
      <c r="I11" s="1307">
        <v>34671</v>
      </c>
      <c r="J11" s="1303">
        <f>J3-J7</f>
        <v>36400</v>
      </c>
      <c r="K11" s="1303">
        <f t="shared" ref="K11:M11" si="1">K3-K7</f>
        <v>34495</v>
      </c>
      <c r="L11" s="1303">
        <f t="shared" si="1"/>
        <v>33666</v>
      </c>
      <c r="M11" s="1303">
        <f t="shared" si="1"/>
        <v>34050</v>
      </c>
      <c r="N11" s="1303">
        <v>33095</v>
      </c>
    </row>
    <row r="12" spans="1:14">
      <c r="A12" s="1302">
        <v>2009</v>
      </c>
      <c r="B12" s="1305">
        <v>36458</v>
      </c>
      <c r="C12" s="1305">
        <v>37435</v>
      </c>
      <c r="D12" s="1305">
        <f>SUM(B12:C12)</f>
        <v>73893</v>
      </c>
      <c r="E12" s="1306">
        <f t="shared" si="0"/>
        <v>97.390142914384938</v>
      </c>
      <c r="F12" s="1301"/>
      <c r="G12" s="1303" t="s">
        <v>2369</v>
      </c>
      <c r="H12" s="1307">
        <v>17385</v>
      </c>
      <c r="I12" s="1307">
        <v>17418</v>
      </c>
      <c r="J12" s="1303">
        <f t="shared" ref="J12:M13" si="2">J4-J8</f>
        <v>18264</v>
      </c>
      <c r="K12" s="1303">
        <f t="shared" si="2"/>
        <v>17500</v>
      </c>
      <c r="L12" s="1303">
        <f t="shared" si="2"/>
        <v>17254</v>
      </c>
      <c r="M12" s="1303">
        <f t="shared" si="2"/>
        <v>17450</v>
      </c>
      <c r="N12" s="1303">
        <v>17136</v>
      </c>
    </row>
    <row r="13" spans="1:14">
      <c r="A13" s="1302">
        <v>2010</v>
      </c>
      <c r="B13" s="1305">
        <v>36885</v>
      </c>
      <c r="C13" s="1305">
        <v>37588</v>
      </c>
      <c r="D13" s="1305">
        <f t="shared" ref="D13:D15" si="3">SUM(B13:C13)</f>
        <v>74473</v>
      </c>
      <c r="E13" s="1306">
        <f t="shared" si="0"/>
        <v>98.129722251782482</v>
      </c>
      <c r="F13" s="1301"/>
      <c r="G13" s="1303" t="s">
        <v>2370</v>
      </c>
      <c r="H13" s="1307">
        <v>17402</v>
      </c>
      <c r="I13" s="1307">
        <v>17253</v>
      </c>
      <c r="J13" s="1303">
        <f t="shared" si="2"/>
        <v>18106</v>
      </c>
      <c r="K13" s="1303">
        <f t="shared" si="2"/>
        <v>16988</v>
      </c>
      <c r="L13" s="1303">
        <f t="shared" si="2"/>
        <v>16412</v>
      </c>
      <c r="M13" s="1303">
        <f t="shared" si="2"/>
        <v>16600</v>
      </c>
      <c r="N13" s="1303">
        <v>15959</v>
      </c>
    </row>
    <row r="14" spans="1:14">
      <c r="A14" s="1302">
        <v>2011</v>
      </c>
      <c r="B14" s="1305">
        <v>37212</v>
      </c>
      <c r="C14" s="1305">
        <v>37824</v>
      </c>
      <c r="D14" s="1305">
        <f t="shared" si="3"/>
        <v>75036</v>
      </c>
      <c r="E14" s="1306">
        <f t="shared" si="0"/>
        <v>98.381979695431482</v>
      </c>
      <c r="F14" s="1301"/>
      <c r="G14" s="1301"/>
      <c r="H14" s="1301"/>
      <c r="I14" s="1301"/>
      <c r="J14" s="1301"/>
      <c r="K14" s="1301"/>
      <c r="L14" s="1301"/>
      <c r="M14" s="1301"/>
      <c r="N14" s="1301"/>
    </row>
    <row r="15" spans="1:14">
      <c r="A15" s="1302">
        <v>2012</v>
      </c>
      <c r="B15" s="1305">
        <v>37282</v>
      </c>
      <c r="C15" s="1305">
        <v>37441</v>
      </c>
      <c r="D15" s="1305">
        <f t="shared" si="3"/>
        <v>74723</v>
      </c>
      <c r="E15" s="1306">
        <f t="shared" si="0"/>
        <v>99.575331855452575</v>
      </c>
      <c r="F15" s="1301"/>
      <c r="G15" s="1301"/>
      <c r="H15" s="1301"/>
      <c r="I15" s="1301"/>
      <c r="J15" s="1301"/>
      <c r="K15" s="1301"/>
      <c r="L15" s="1301"/>
      <c r="M15" s="1301"/>
      <c r="N15" s="1301"/>
    </row>
    <row r="16" spans="1:14">
      <c r="A16" s="1300"/>
      <c r="B16" s="1300"/>
      <c r="C16" s="1300"/>
      <c r="D16" s="1300"/>
      <c r="E16" s="1300"/>
      <c r="F16" s="1300"/>
      <c r="G16" s="1432" t="s">
        <v>2372</v>
      </c>
      <c r="H16" s="1432"/>
      <c r="I16" s="1432"/>
      <c r="J16" s="1432"/>
      <c r="K16" s="1432"/>
      <c r="L16" s="1432"/>
      <c r="M16" s="1432"/>
      <c r="N16" s="1311"/>
    </row>
    <row r="17" spans="1:14">
      <c r="A17" s="1426"/>
      <c r="B17" s="1426"/>
      <c r="C17" s="1426"/>
      <c r="D17" s="1426"/>
      <c r="E17" s="1426"/>
      <c r="F17" s="1300"/>
      <c r="G17" s="1300"/>
      <c r="H17" s="1312"/>
      <c r="I17" s="1312"/>
      <c r="J17" s="1300"/>
      <c r="K17" s="1312"/>
      <c r="L17" s="1312"/>
      <c r="M17" s="1300"/>
      <c r="N17" s="1300"/>
    </row>
    <row r="18" spans="1:14">
      <c r="A18" s="1300"/>
      <c r="B18" s="1300"/>
      <c r="C18" s="1300"/>
      <c r="D18" s="1300"/>
      <c r="E18" s="1300"/>
      <c r="F18" s="1300"/>
      <c r="G18" s="1300"/>
      <c r="H18" s="1313"/>
      <c r="I18" s="1313"/>
      <c r="J18" s="1300"/>
      <c r="K18" s="1313"/>
      <c r="L18" s="1313"/>
      <c r="M18" s="1300"/>
      <c r="N18" s="1300"/>
    </row>
    <row r="19" spans="1:14">
      <c r="A19" s="1300"/>
      <c r="B19" s="1300"/>
      <c r="C19" s="1300"/>
      <c r="D19" s="1300"/>
      <c r="E19" s="1300"/>
      <c r="F19" s="1300"/>
      <c r="G19" s="1300"/>
      <c r="H19" s="1300"/>
      <c r="I19" s="1300"/>
      <c r="J19" s="1312"/>
      <c r="K19" s="1300"/>
      <c r="L19" s="1300"/>
      <c r="M19" s="1300"/>
      <c r="N19" s="1300"/>
    </row>
    <row r="20" spans="1:14">
      <c r="A20" s="1300"/>
      <c r="B20" s="1300"/>
      <c r="C20" s="1300"/>
      <c r="D20" s="1300"/>
      <c r="E20" s="1300"/>
      <c r="F20" s="1300"/>
      <c r="G20" s="1300"/>
      <c r="H20" s="1300"/>
      <c r="I20" s="1300"/>
      <c r="J20" s="1313"/>
      <c r="K20" s="1300"/>
      <c r="L20" s="1300"/>
      <c r="M20" s="1300"/>
      <c r="N20" s="1300"/>
    </row>
    <row r="21" spans="1:14">
      <c r="A21" s="1300"/>
      <c r="B21" s="1300"/>
      <c r="C21" s="1300"/>
      <c r="D21" s="1300"/>
      <c r="E21" s="1300"/>
      <c r="F21" s="1300"/>
      <c r="G21" s="1300"/>
      <c r="H21" s="1300"/>
      <c r="I21" s="1300"/>
      <c r="J21" s="1300"/>
      <c r="K21" s="1300"/>
      <c r="L21" s="1300"/>
      <c r="M21" s="1300"/>
      <c r="N21" s="1300"/>
    </row>
    <row r="22" spans="1:14">
      <c r="A22" s="1300"/>
      <c r="B22" s="1300"/>
      <c r="C22" s="1300"/>
      <c r="D22" s="1300"/>
      <c r="E22" s="1300"/>
      <c r="F22" s="1300"/>
      <c r="G22" s="1300"/>
      <c r="H22" s="1300"/>
      <c r="I22" s="1300"/>
      <c r="J22" s="1300"/>
      <c r="K22" s="1300"/>
      <c r="L22" s="1300"/>
      <c r="M22" s="1300"/>
      <c r="N22" s="1300"/>
    </row>
    <row r="23" spans="1:14">
      <c r="A23" s="1300"/>
      <c r="B23" s="1300"/>
      <c r="C23" s="1300"/>
      <c r="D23" s="1300"/>
      <c r="E23" s="1300"/>
      <c r="F23" s="1300"/>
      <c r="G23" s="1300"/>
      <c r="H23" s="1300"/>
      <c r="I23" s="1300"/>
      <c r="J23" s="1300"/>
      <c r="K23" s="1300"/>
      <c r="L23" s="1300"/>
      <c r="M23" s="1300"/>
      <c r="N23" s="1300"/>
    </row>
    <row r="24" spans="1:14">
      <c r="A24" s="1300"/>
      <c r="B24" s="1300"/>
      <c r="C24" s="1300"/>
      <c r="D24" s="1300"/>
      <c r="E24" s="1300"/>
      <c r="F24" s="1300"/>
      <c r="G24" s="1300"/>
      <c r="H24" s="1300"/>
      <c r="I24" s="1300"/>
      <c r="J24" s="1300"/>
      <c r="K24" s="1300"/>
      <c r="L24" s="1300"/>
      <c r="M24" s="1300"/>
      <c r="N24" s="1300"/>
    </row>
    <row r="25" spans="1:14">
      <c r="A25" s="1300"/>
      <c r="B25" s="1300"/>
      <c r="C25" s="1300"/>
      <c r="D25" s="1300"/>
      <c r="E25" s="1300"/>
      <c r="F25" s="1300"/>
      <c r="G25" s="1300"/>
      <c r="H25" s="1300"/>
      <c r="I25" s="1300"/>
      <c r="J25" s="1300"/>
      <c r="K25" s="1300"/>
      <c r="L25" s="1300"/>
      <c r="M25" s="1300"/>
      <c r="N25" s="1300"/>
    </row>
    <row r="26" spans="1:14">
      <c r="A26" s="1300"/>
      <c r="B26" s="1300"/>
      <c r="C26" s="1300"/>
      <c r="D26" s="1300"/>
      <c r="E26" s="1300"/>
      <c r="F26" s="1300"/>
      <c r="G26" s="1300"/>
      <c r="H26" s="1300"/>
      <c r="I26" s="1300"/>
      <c r="J26" s="1300"/>
      <c r="K26" s="1300"/>
      <c r="L26" s="1300"/>
      <c r="M26" s="1300"/>
      <c r="N26" s="1300"/>
    </row>
    <row r="27" spans="1:14">
      <c r="A27" s="1300"/>
      <c r="B27" s="1300"/>
      <c r="C27" s="1300"/>
      <c r="D27" s="1300"/>
      <c r="E27" s="1300"/>
      <c r="F27" s="1300"/>
      <c r="G27" s="1300"/>
      <c r="H27" s="1300"/>
      <c r="I27" s="1300"/>
      <c r="J27" s="1300"/>
      <c r="K27" s="1300"/>
      <c r="L27" s="1300"/>
      <c r="M27" s="1300"/>
      <c r="N27" s="1300"/>
    </row>
    <row r="28" spans="1:14">
      <c r="A28" s="1300"/>
      <c r="B28" s="1300"/>
      <c r="C28" s="1300"/>
      <c r="D28" s="1300"/>
      <c r="E28" s="1300"/>
      <c r="F28" s="1300"/>
      <c r="G28" s="1300"/>
      <c r="H28" s="1313"/>
      <c r="I28" s="1313"/>
      <c r="J28" s="1300"/>
      <c r="K28" s="1313"/>
      <c r="L28" s="1313"/>
      <c r="M28" s="1300"/>
      <c r="N28" s="1300"/>
    </row>
    <row r="29" spans="1:14">
      <c r="A29" s="1300"/>
      <c r="B29" s="1300"/>
      <c r="C29" s="1300"/>
      <c r="D29" s="1300"/>
      <c r="E29" s="1300"/>
      <c r="F29" s="1300"/>
      <c r="G29" s="1300"/>
      <c r="H29" s="1300"/>
      <c r="I29" s="1300"/>
      <c r="J29" s="1300"/>
      <c r="K29" s="1300"/>
      <c r="L29" s="1300"/>
      <c r="M29" s="1300"/>
      <c r="N29" s="1300"/>
    </row>
    <row r="30" spans="1:14">
      <c r="A30" s="1300"/>
      <c r="B30" s="1300"/>
      <c r="C30" s="1300"/>
      <c r="D30" s="1300"/>
      <c r="E30" s="1300"/>
      <c r="F30" s="1300"/>
      <c r="G30" s="1300"/>
      <c r="H30" s="1300"/>
      <c r="I30" s="1300"/>
      <c r="J30" s="1313"/>
      <c r="K30" s="1300"/>
      <c r="L30" s="1300"/>
      <c r="M30" s="1300"/>
      <c r="N30" s="1300"/>
    </row>
    <row r="31" spans="1:14">
      <c r="A31" s="1300"/>
      <c r="B31" s="1300"/>
      <c r="C31" s="1300"/>
      <c r="D31" s="1300"/>
      <c r="E31" s="1300"/>
      <c r="F31" s="1300"/>
      <c r="G31" s="1300"/>
      <c r="H31" s="1300"/>
      <c r="I31" s="1300"/>
      <c r="J31" s="1300"/>
      <c r="K31" s="1300"/>
      <c r="L31" s="1300"/>
      <c r="M31" s="1300"/>
      <c r="N31" s="1300"/>
    </row>
    <row r="32" spans="1:14">
      <c r="A32" s="1300"/>
      <c r="B32" s="1300"/>
      <c r="C32" s="1300"/>
      <c r="D32" s="1300"/>
      <c r="E32" s="1300"/>
      <c r="F32" s="1300"/>
      <c r="G32" s="1300"/>
      <c r="H32" s="1300"/>
      <c r="I32" s="1300"/>
      <c r="J32" s="1300"/>
      <c r="K32" s="1300"/>
      <c r="L32" s="1300"/>
      <c r="M32" s="1300"/>
      <c r="N32" s="1300"/>
    </row>
    <row r="33" spans="1:14">
      <c r="A33" s="1300"/>
      <c r="B33" s="1300"/>
      <c r="C33" s="1300"/>
      <c r="D33" s="1300"/>
      <c r="E33" s="1300"/>
      <c r="F33" s="1300"/>
      <c r="G33" s="1300"/>
      <c r="H33" s="1300"/>
      <c r="I33" s="1300"/>
      <c r="J33" s="1300"/>
      <c r="K33" s="1300"/>
      <c r="L33" s="1300"/>
      <c r="M33" s="1300"/>
      <c r="N33" s="1300"/>
    </row>
    <row r="34" spans="1:14">
      <c r="A34" s="1300"/>
      <c r="B34" s="1300"/>
      <c r="C34" s="1300"/>
      <c r="D34" s="1300"/>
      <c r="E34" s="1300"/>
      <c r="F34" s="1300"/>
      <c r="G34" s="1300"/>
      <c r="H34" s="1300"/>
      <c r="I34" s="1300"/>
      <c r="J34" s="1300"/>
      <c r="K34" s="1300"/>
      <c r="L34" s="1300"/>
      <c r="M34" s="1300"/>
      <c r="N34" s="1300"/>
    </row>
    <row r="35" spans="1:14">
      <c r="A35" s="1300"/>
      <c r="B35" s="1300"/>
      <c r="C35" s="1300"/>
      <c r="D35" s="1300"/>
      <c r="E35" s="1300"/>
      <c r="F35" s="1300"/>
      <c r="G35" s="1300"/>
      <c r="H35" s="1300"/>
      <c r="I35" s="1300"/>
      <c r="J35" s="1300"/>
      <c r="K35" s="1300"/>
      <c r="L35" s="1300"/>
      <c r="M35" s="1300"/>
      <c r="N35" s="1300"/>
    </row>
    <row r="36" spans="1:14">
      <c r="A36" s="1426">
        <v>23</v>
      </c>
      <c r="B36" s="1426"/>
      <c r="C36" s="1426"/>
      <c r="D36" s="1426"/>
      <c r="E36" s="1426"/>
      <c r="F36" s="1426"/>
      <c r="G36" s="1426"/>
      <c r="H36" s="1426"/>
      <c r="I36" s="1426"/>
      <c r="J36" s="1426"/>
      <c r="K36" s="1426"/>
      <c r="L36" s="1426"/>
      <c r="M36" s="1426"/>
      <c r="N36" s="1426"/>
    </row>
    <row r="37" spans="1:14">
      <c r="A37" s="1300"/>
      <c r="B37" s="1300"/>
      <c r="C37" s="1300"/>
      <c r="D37" s="1300"/>
      <c r="E37" s="1300"/>
      <c r="F37" s="1300"/>
      <c r="G37" s="1300"/>
      <c r="H37" s="1300"/>
      <c r="I37" s="1300"/>
      <c r="J37" s="1300"/>
      <c r="K37" s="1300"/>
      <c r="L37" s="1300"/>
      <c r="M37" s="1300"/>
      <c r="N37" s="1300"/>
    </row>
  </sheetData>
  <mergeCells count="8">
    <mergeCell ref="A17:E17"/>
    <mergeCell ref="A36:N36"/>
    <mergeCell ref="A1:E1"/>
    <mergeCell ref="G1:K1"/>
    <mergeCell ref="A2:A3"/>
    <mergeCell ref="B2:D2"/>
    <mergeCell ref="E2:E3"/>
    <mergeCell ref="G16:M16"/>
  </mergeCell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46"/>
  <sheetViews>
    <sheetView workbookViewId="0">
      <selection activeCell="C55" sqref="C55"/>
    </sheetView>
  </sheetViews>
  <sheetFormatPr defaultRowHeight="12.75"/>
  <cols>
    <col min="1" max="1" width="10.7109375" customWidth="1"/>
    <col min="2" max="2" width="7.28515625" customWidth="1"/>
    <col min="3" max="3" width="7" customWidth="1"/>
    <col min="4" max="4" width="7.28515625" customWidth="1"/>
    <col min="5" max="5" width="7.140625" customWidth="1"/>
    <col min="6" max="6" width="7.42578125" customWidth="1"/>
    <col min="7" max="7" width="6.5703125" customWidth="1"/>
    <col min="8" max="8" width="7.28515625" customWidth="1"/>
    <col min="9" max="9" width="6.85546875" customWidth="1"/>
    <col min="10" max="10" width="7.28515625" customWidth="1"/>
    <col min="11" max="11" width="7.140625" customWidth="1"/>
    <col min="12" max="12" width="7" customWidth="1"/>
  </cols>
  <sheetData>
    <row r="1" spans="1:12">
      <c r="A1" s="1319" t="s">
        <v>2375</v>
      </c>
      <c r="B1" s="1320"/>
      <c r="C1" s="1320"/>
      <c r="D1" s="1320"/>
      <c r="E1" s="1320"/>
      <c r="F1" s="1320"/>
      <c r="G1" s="1320"/>
      <c r="H1" s="1320"/>
      <c r="I1" s="1320"/>
      <c r="J1" s="1320"/>
      <c r="K1" s="1320"/>
      <c r="L1" s="1320"/>
    </row>
    <row r="2" spans="1:12">
      <c r="A2" s="1320" t="s">
        <v>2376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1320"/>
    </row>
    <row r="3" spans="1:12">
      <c r="A3" s="1320"/>
      <c r="B3" s="1320"/>
      <c r="C3" s="1320"/>
      <c r="D3" s="1320"/>
      <c r="E3" s="1320"/>
      <c r="F3" s="1320"/>
      <c r="G3" s="1320"/>
      <c r="H3" s="1320"/>
      <c r="I3" s="1320"/>
      <c r="J3" s="1320"/>
      <c r="K3" s="1320"/>
      <c r="L3" s="1320"/>
    </row>
    <row r="4" spans="1:12">
      <c r="A4" s="1437" t="s">
        <v>2377</v>
      </c>
      <c r="B4" s="1440" t="s">
        <v>276</v>
      </c>
      <c r="C4" s="1437" t="s">
        <v>2378</v>
      </c>
      <c r="D4" s="1443" t="s">
        <v>2379</v>
      </c>
      <c r="E4" s="1444"/>
      <c r="F4" s="1444"/>
      <c r="G4" s="1444"/>
      <c r="H4" s="1442"/>
      <c r="I4" s="1321"/>
      <c r="J4" s="1321"/>
      <c r="K4" s="1321"/>
      <c r="L4" s="1321"/>
    </row>
    <row r="5" spans="1:12">
      <c r="A5" s="1438"/>
      <c r="B5" s="1441"/>
      <c r="C5" s="1438"/>
      <c r="D5" s="1445" t="s">
        <v>2380</v>
      </c>
      <c r="E5" s="1445" t="s">
        <v>2381</v>
      </c>
      <c r="F5" s="1447"/>
      <c r="G5" s="1447"/>
      <c r="H5" s="1442"/>
      <c r="I5" s="1321"/>
      <c r="J5" s="1321"/>
      <c r="K5" s="1321"/>
      <c r="L5" s="1321"/>
    </row>
    <row r="6" spans="1:12">
      <c r="A6" s="1438"/>
      <c r="B6" s="1441"/>
      <c r="C6" s="1438"/>
      <c r="D6" s="1446"/>
      <c r="E6" s="1445" t="s">
        <v>872</v>
      </c>
      <c r="F6" s="1442"/>
      <c r="G6" s="1443" t="s">
        <v>2382</v>
      </c>
      <c r="H6" s="1442"/>
      <c r="I6" s="1321"/>
      <c r="J6" s="1321"/>
      <c r="K6" s="1321"/>
      <c r="L6" s="1321"/>
    </row>
    <row r="7" spans="1:12" ht="33.75">
      <c r="A7" s="1439"/>
      <c r="B7" s="1442"/>
      <c r="C7" s="1439"/>
      <c r="D7" s="1442"/>
      <c r="E7" s="1322" t="s">
        <v>2383</v>
      </c>
      <c r="F7" s="1323" t="s">
        <v>2384</v>
      </c>
      <c r="G7" s="1324" t="s">
        <v>2385</v>
      </c>
      <c r="H7" s="1324" t="s">
        <v>2386</v>
      </c>
      <c r="I7" s="1321"/>
      <c r="J7" s="1321"/>
      <c r="K7" s="1321"/>
      <c r="L7" s="1321"/>
    </row>
    <row r="8" spans="1:12">
      <c r="A8" s="1325" t="s">
        <v>277</v>
      </c>
      <c r="B8" s="1325">
        <v>1</v>
      </c>
      <c r="C8" s="1325">
        <v>2</v>
      </c>
      <c r="D8" s="1325">
        <v>3</v>
      </c>
      <c r="E8" s="1325">
        <v>4</v>
      </c>
      <c r="F8" s="1325">
        <v>5</v>
      </c>
      <c r="G8" s="1325">
        <v>6</v>
      </c>
      <c r="H8" s="1325">
        <v>7</v>
      </c>
      <c r="I8" s="1321"/>
      <c r="J8" s="1321"/>
      <c r="K8" s="1321"/>
      <c r="L8" s="1321"/>
    </row>
    <row r="9" spans="1:12">
      <c r="A9" s="1326" t="s">
        <v>2387</v>
      </c>
      <c r="B9" s="1326">
        <v>3695</v>
      </c>
      <c r="C9" s="1326">
        <v>1616</v>
      </c>
      <c r="D9" s="1326">
        <v>1041</v>
      </c>
      <c r="E9" s="1326">
        <v>2137</v>
      </c>
      <c r="F9" s="1326">
        <v>67</v>
      </c>
      <c r="G9" s="1326">
        <v>397</v>
      </c>
      <c r="H9" s="1326">
        <v>53</v>
      </c>
      <c r="I9" s="1321"/>
      <c r="J9" s="1321"/>
      <c r="K9" s="1321"/>
      <c r="L9" s="1321"/>
    </row>
    <row r="10" spans="1:12">
      <c r="A10" s="1321" t="s">
        <v>280</v>
      </c>
      <c r="B10" s="1321">
        <v>120</v>
      </c>
      <c r="C10" s="1321">
        <v>38</v>
      </c>
      <c r="D10" s="1321">
        <v>87</v>
      </c>
      <c r="E10" s="1321">
        <v>20</v>
      </c>
      <c r="F10" s="1321">
        <v>0</v>
      </c>
      <c r="G10" s="1321">
        <v>13</v>
      </c>
      <c r="H10" s="1321">
        <v>0</v>
      </c>
      <c r="I10" s="1321"/>
      <c r="J10" s="1321"/>
      <c r="K10" s="1321"/>
      <c r="L10" s="1321"/>
    </row>
    <row r="11" spans="1:12">
      <c r="A11" s="1321" t="s">
        <v>281</v>
      </c>
      <c r="B11" s="1321">
        <v>120</v>
      </c>
      <c r="C11" s="1321">
        <v>56</v>
      </c>
      <c r="D11" s="1321">
        <v>78</v>
      </c>
      <c r="E11" s="1321">
        <v>38</v>
      </c>
      <c r="F11" s="1321">
        <v>0</v>
      </c>
      <c r="G11" s="1321">
        <v>4</v>
      </c>
      <c r="H11" s="1321">
        <v>0</v>
      </c>
      <c r="I11" s="1321"/>
      <c r="J11" s="1321"/>
      <c r="K11" s="1321"/>
      <c r="L11" s="1321"/>
    </row>
    <row r="12" spans="1:12">
      <c r="A12" s="1321" t="s">
        <v>282</v>
      </c>
      <c r="B12" s="1321">
        <v>78</v>
      </c>
      <c r="C12" s="1321">
        <v>33</v>
      </c>
      <c r="D12" s="1321">
        <v>41</v>
      </c>
      <c r="E12" s="1321">
        <v>37</v>
      </c>
      <c r="F12" s="1321">
        <v>0</v>
      </c>
      <c r="G12" s="1321">
        <v>0</v>
      </c>
      <c r="H12" s="1321"/>
      <c r="I12" s="1321"/>
      <c r="J12" s="1321"/>
      <c r="K12" s="1321"/>
      <c r="L12" s="1321"/>
    </row>
    <row r="13" spans="1:12">
      <c r="A13" s="1321" t="s">
        <v>283</v>
      </c>
      <c r="B13" s="1321">
        <v>97</v>
      </c>
      <c r="C13" s="1321">
        <v>39</v>
      </c>
      <c r="D13" s="1321">
        <v>12</v>
      </c>
      <c r="E13" s="1321">
        <v>77</v>
      </c>
      <c r="F13" s="1321">
        <v>0</v>
      </c>
      <c r="G13" s="1321">
        <v>8</v>
      </c>
      <c r="H13" s="1321">
        <v>0</v>
      </c>
      <c r="I13" s="1321"/>
      <c r="J13" s="1321"/>
      <c r="K13" s="1321"/>
      <c r="L13" s="1321"/>
    </row>
    <row r="14" spans="1:12">
      <c r="A14" s="1321" t="s">
        <v>284</v>
      </c>
      <c r="B14" s="1321">
        <v>202</v>
      </c>
      <c r="C14" s="1321">
        <v>82</v>
      </c>
      <c r="D14" s="1321">
        <v>70</v>
      </c>
      <c r="E14" s="1321">
        <v>132</v>
      </c>
      <c r="F14" s="1321">
        <v>0</v>
      </c>
      <c r="G14" s="1321">
        <v>0</v>
      </c>
      <c r="H14" s="1321">
        <v>0</v>
      </c>
      <c r="I14" s="1321"/>
      <c r="J14" s="1321"/>
      <c r="K14" s="1321"/>
      <c r="L14" s="1321"/>
    </row>
    <row r="15" spans="1:12">
      <c r="A15" s="1321" t="s">
        <v>285</v>
      </c>
      <c r="B15" s="1321">
        <v>55</v>
      </c>
      <c r="C15" s="1321">
        <v>25</v>
      </c>
      <c r="D15" s="1321">
        <v>30</v>
      </c>
      <c r="E15" s="1321">
        <v>19</v>
      </c>
      <c r="F15" s="1321">
        <v>2</v>
      </c>
      <c r="G15" s="1321">
        <v>4</v>
      </c>
      <c r="H15" s="1321">
        <v>0</v>
      </c>
      <c r="I15" s="1321"/>
      <c r="J15" s="1321"/>
      <c r="K15" s="1321"/>
      <c r="L15" s="1321"/>
    </row>
    <row r="16" spans="1:12">
      <c r="A16" s="1321" t="s">
        <v>286</v>
      </c>
      <c r="B16" s="1321">
        <v>105</v>
      </c>
      <c r="C16" s="1321">
        <v>35</v>
      </c>
      <c r="D16" s="1321">
        <v>38</v>
      </c>
      <c r="E16" s="1321">
        <v>52</v>
      </c>
      <c r="F16" s="1321">
        <v>0</v>
      </c>
      <c r="G16" s="1321">
        <v>15</v>
      </c>
      <c r="H16" s="1321">
        <v>0</v>
      </c>
      <c r="I16" s="1321"/>
      <c r="J16" s="1321"/>
      <c r="K16" s="1321"/>
      <c r="L16" s="1321"/>
    </row>
    <row r="17" spans="1:12">
      <c r="A17" s="1321" t="s">
        <v>287</v>
      </c>
      <c r="B17" s="1321">
        <v>106</v>
      </c>
      <c r="C17" s="1321">
        <v>41</v>
      </c>
      <c r="D17" s="1321">
        <v>66</v>
      </c>
      <c r="E17" s="1321">
        <v>30</v>
      </c>
      <c r="F17" s="1321">
        <v>0</v>
      </c>
      <c r="G17" s="1321">
        <v>10</v>
      </c>
      <c r="H17" s="1321">
        <v>0</v>
      </c>
      <c r="I17" s="1321"/>
      <c r="J17" s="1321"/>
      <c r="K17" s="1321"/>
      <c r="L17" s="1321"/>
    </row>
    <row r="18" spans="1:12">
      <c r="A18" s="1321" t="s">
        <v>288</v>
      </c>
      <c r="B18" s="1321">
        <v>92</v>
      </c>
      <c r="C18" s="1321">
        <v>44</v>
      </c>
      <c r="D18" s="1321">
        <v>36</v>
      </c>
      <c r="E18" s="1321">
        <v>43</v>
      </c>
      <c r="F18" s="1321">
        <v>0</v>
      </c>
      <c r="G18" s="1321">
        <v>13</v>
      </c>
      <c r="H18" s="1321">
        <v>0</v>
      </c>
      <c r="I18" s="1321"/>
      <c r="J18" s="1321"/>
      <c r="K18" s="1321"/>
      <c r="L18" s="1321"/>
    </row>
    <row r="19" spans="1:12">
      <c r="A19" s="1321" t="s">
        <v>289</v>
      </c>
      <c r="B19" s="1321">
        <v>202</v>
      </c>
      <c r="C19" s="1321">
        <v>86</v>
      </c>
      <c r="D19" s="1321">
        <v>87</v>
      </c>
      <c r="E19" s="1321">
        <v>68</v>
      </c>
      <c r="F19" s="1321">
        <v>0</v>
      </c>
      <c r="G19" s="1321">
        <v>46</v>
      </c>
      <c r="H19" s="1321">
        <v>1</v>
      </c>
      <c r="I19" s="1321"/>
      <c r="J19" s="1321"/>
      <c r="K19" s="1321"/>
      <c r="L19" s="1321"/>
    </row>
    <row r="20" spans="1:12">
      <c r="A20" s="1321" t="s">
        <v>290</v>
      </c>
      <c r="B20" s="1321">
        <v>156</v>
      </c>
      <c r="C20" s="1321">
        <v>54</v>
      </c>
      <c r="D20" s="1321">
        <v>47</v>
      </c>
      <c r="E20" s="1321">
        <v>73</v>
      </c>
      <c r="F20" s="1321">
        <v>2</v>
      </c>
      <c r="G20" s="1321">
        <v>31</v>
      </c>
      <c r="H20" s="1321">
        <v>3</v>
      </c>
      <c r="I20" s="1321"/>
      <c r="J20" s="1321"/>
      <c r="K20" s="1321"/>
      <c r="L20" s="1321"/>
    </row>
    <row r="21" spans="1:12">
      <c r="A21" s="1321" t="s">
        <v>291</v>
      </c>
      <c r="B21" s="1321">
        <v>114</v>
      </c>
      <c r="C21" s="1321">
        <v>45</v>
      </c>
      <c r="D21" s="1321">
        <v>36</v>
      </c>
      <c r="E21" s="1321">
        <v>49</v>
      </c>
      <c r="F21" s="1321">
        <v>0</v>
      </c>
      <c r="G21" s="1321">
        <v>28</v>
      </c>
      <c r="H21" s="1321">
        <v>1</v>
      </c>
      <c r="I21" s="1321"/>
      <c r="J21" s="1321"/>
      <c r="K21" s="1321"/>
      <c r="L21" s="1321"/>
    </row>
    <row r="22" spans="1:12">
      <c r="A22" s="1321" t="s">
        <v>292</v>
      </c>
      <c r="B22" s="1321">
        <v>35</v>
      </c>
      <c r="C22" s="1321">
        <v>22</v>
      </c>
      <c r="D22" s="1321">
        <v>21</v>
      </c>
      <c r="E22" s="1321">
        <v>14</v>
      </c>
      <c r="F22" s="1321">
        <v>0</v>
      </c>
      <c r="G22" s="1321">
        <v>0</v>
      </c>
      <c r="H22" s="1321">
        <v>0</v>
      </c>
      <c r="I22" s="1321"/>
      <c r="J22" s="1321"/>
      <c r="K22" s="1321"/>
      <c r="L22" s="1321"/>
    </row>
    <row r="23" spans="1:12">
      <c r="A23" s="1321" t="s">
        <v>293</v>
      </c>
      <c r="B23" s="1321">
        <v>2213</v>
      </c>
      <c r="C23" s="1321">
        <v>1016</v>
      </c>
      <c r="D23" s="1321">
        <v>392</v>
      </c>
      <c r="E23" s="1321">
        <v>1485</v>
      </c>
      <c r="F23" s="1321">
        <v>63</v>
      </c>
      <c r="G23" s="1321">
        <v>225</v>
      </c>
      <c r="H23" s="1321">
        <v>48</v>
      </c>
      <c r="I23" s="1321"/>
      <c r="J23" s="1321"/>
      <c r="K23" s="1321"/>
      <c r="L23" s="1321"/>
    </row>
    <row r="24" spans="1:12">
      <c r="A24" s="1327" t="s">
        <v>91</v>
      </c>
      <c r="B24" s="1328">
        <v>3695</v>
      </c>
      <c r="C24" s="1328">
        <v>1616</v>
      </c>
      <c r="D24" s="1328">
        <v>1041</v>
      </c>
      <c r="E24" s="1328">
        <v>2137</v>
      </c>
      <c r="F24" s="1328">
        <v>67</v>
      </c>
      <c r="G24" s="1328">
        <v>397</v>
      </c>
      <c r="H24" s="1328">
        <v>53</v>
      </c>
      <c r="I24" s="1321"/>
      <c r="J24" s="1321"/>
      <c r="K24" s="1321"/>
      <c r="L24" s="1321"/>
    </row>
    <row r="25" spans="1:12">
      <c r="A25" s="1321"/>
      <c r="B25" s="1321"/>
      <c r="C25" s="1321"/>
      <c r="D25" s="1321"/>
      <c r="E25" s="1321"/>
      <c r="F25" s="1321"/>
      <c r="G25" s="1321"/>
      <c r="H25" s="1321"/>
      <c r="I25" s="1321"/>
      <c r="J25" s="1321"/>
      <c r="K25" s="1321"/>
      <c r="L25" s="1321"/>
    </row>
    <row r="26" spans="1:12">
      <c r="A26" s="1321"/>
      <c r="B26" s="1321"/>
      <c r="C26" s="1321"/>
      <c r="D26" s="1321"/>
      <c r="E26" s="1321"/>
      <c r="F26" s="1321"/>
      <c r="G26" s="1321"/>
      <c r="H26" s="1321"/>
      <c r="I26" s="1321"/>
      <c r="J26" s="1321"/>
      <c r="K26" s="1321"/>
      <c r="L26" s="1321"/>
    </row>
    <row r="27" spans="1:12">
      <c r="A27" s="1329"/>
      <c r="B27" s="1330" t="s">
        <v>2388</v>
      </c>
      <c r="C27" s="1330"/>
      <c r="D27" s="1330"/>
      <c r="E27" s="1330"/>
      <c r="F27" s="1330"/>
      <c r="G27" s="1330"/>
      <c r="H27" s="1330"/>
      <c r="I27" s="1330"/>
      <c r="J27" s="1330"/>
      <c r="K27" s="1330"/>
      <c r="L27" s="1330"/>
    </row>
    <row r="28" spans="1:12">
      <c r="A28" s="1329" t="s">
        <v>45</v>
      </c>
      <c r="B28" s="1329"/>
      <c r="C28" s="1329"/>
      <c r="D28" s="1329"/>
      <c r="E28" s="1329"/>
      <c r="F28" s="1329"/>
      <c r="G28" s="1329"/>
      <c r="H28" s="1329"/>
      <c r="I28" s="1329"/>
      <c r="J28" s="1329"/>
      <c r="K28" s="1433"/>
      <c r="L28" s="1433"/>
    </row>
    <row r="29" spans="1:12">
      <c r="A29" s="1434" t="s">
        <v>2389</v>
      </c>
      <c r="B29" s="1435" t="s">
        <v>5</v>
      </c>
      <c r="C29" s="1434" t="s">
        <v>2390</v>
      </c>
      <c r="D29" s="1434"/>
      <c r="E29" s="1434"/>
      <c r="F29" s="1434"/>
      <c r="G29" s="1434"/>
      <c r="H29" s="1434"/>
      <c r="I29" s="1434"/>
      <c r="J29" s="1434"/>
      <c r="K29" s="1434"/>
      <c r="L29" s="1434"/>
    </row>
    <row r="30" spans="1:12" ht="22.5">
      <c r="A30" s="1434"/>
      <c r="B30" s="1436"/>
      <c r="C30" s="1331" t="s">
        <v>2391</v>
      </c>
      <c r="D30" s="1331" t="s">
        <v>2392</v>
      </c>
      <c r="E30" s="1331" t="s">
        <v>2393</v>
      </c>
      <c r="F30" s="1331" t="s">
        <v>2394</v>
      </c>
      <c r="G30" s="1331" t="s">
        <v>2395</v>
      </c>
      <c r="H30" s="1331" t="s">
        <v>2396</v>
      </c>
      <c r="I30" s="1331" t="s">
        <v>2397</v>
      </c>
      <c r="J30" s="1331" t="s">
        <v>2398</v>
      </c>
      <c r="K30" s="1331" t="s">
        <v>2399</v>
      </c>
      <c r="L30" s="1331" t="s">
        <v>2400</v>
      </c>
    </row>
    <row r="31" spans="1:12">
      <c r="A31" s="1332" t="s">
        <v>8</v>
      </c>
      <c r="B31" s="1332">
        <v>1</v>
      </c>
      <c r="C31" s="1332">
        <v>2</v>
      </c>
      <c r="D31" s="1332">
        <v>3</v>
      </c>
      <c r="E31" s="1332">
        <v>4</v>
      </c>
      <c r="F31" s="1332">
        <v>5</v>
      </c>
      <c r="G31" s="1332">
        <v>6</v>
      </c>
      <c r="H31" s="1332">
        <v>7</v>
      </c>
      <c r="I31" s="1332">
        <v>8</v>
      </c>
      <c r="J31" s="1332">
        <v>9</v>
      </c>
      <c r="K31" s="1332">
        <v>10</v>
      </c>
      <c r="L31" s="1332">
        <v>11</v>
      </c>
    </row>
    <row r="32" spans="1:12" ht="18.75" customHeight="1">
      <c r="A32" s="1333" t="s">
        <v>1622</v>
      </c>
      <c r="B32" s="1333">
        <v>12023</v>
      </c>
      <c r="C32" s="1333">
        <v>1873</v>
      </c>
      <c r="D32" s="1333">
        <v>1896</v>
      </c>
      <c r="E32" s="1333">
        <v>2613</v>
      </c>
      <c r="F32" s="1333">
        <v>2679</v>
      </c>
      <c r="G32" s="1333">
        <v>1627</v>
      </c>
      <c r="H32" s="1333">
        <v>779</v>
      </c>
      <c r="I32" s="1333">
        <v>340</v>
      </c>
      <c r="J32" s="1333">
        <v>132</v>
      </c>
      <c r="K32" s="1333">
        <v>59</v>
      </c>
      <c r="L32" s="1333">
        <v>25</v>
      </c>
    </row>
    <row r="33" spans="1:12" ht="18.75" customHeight="1">
      <c r="A33" s="1333" t="s">
        <v>280</v>
      </c>
      <c r="B33" s="1333">
        <v>810</v>
      </c>
      <c r="C33" s="1333">
        <v>114</v>
      </c>
      <c r="D33" s="1333">
        <v>100</v>
      </c>
      <c r="E33" s="1333">
        <v>148</v>
      </c>
      <c r="F33" s="1333">
        <v>183</v>
      </c>
      <c r="G33" s="1333">
        <v>134</v>
      </c>
      <c r="H33" s="1333">
        <v>82</v>
      </c>
      <c r="I33" s="1333">
        <v>31</v>
      </c>
      <c r="J33" s="1333">
        <v>11</v>
      </c>
      <c r="K33" s="1333">
        <v>4</v>
      </c>
      <c r="L33" s="1333">
        <v>3</v>
      </c>
    </row>
    <row r="34" spans="1:12" ht="18.75" customHeight="1">
      <c r="A34" s="1333" t="s">
        <v>281</v>
      </c>
      <c r="B34" s="1333">
        <v>693</v>
      </c>
      <c r="C34" s="1333">
        <v>168</v>
      </c>
      <c r="D34" s="1333">
        <v>120</v>
      </c>
      <c r="E34" s="1333">
        <v>141</v>
      </c>
      <c r="F34" s="1333">
        <v>139</v>
      </c>
      <c r="G34" s="1333">
        <v>74</v>
      </c>
      <c r="H34" s="1333">
        <v>32</v>
      </c>
      <c r="I34" s="1333">
        <v>15</v>
      </c>
      <c r="J34" s="1333">
        <v>2</v>
      </c>
      <c r="K34" s="1333">
        <v>1</v>
      </c>
      <c r="L34" s="1333">
        <v>1</v>
      </c>
    </row>
    <row r="35" spans="1:12" ht="18.75" customHeight="1">
      <c r="A35" s="1333" t="s">
        <v>290</v>
      </c>
      <c r="B35" s="1333">
        <v>1366</v>
      </c>
      <c r="C35" s="1333">
        <v>308</v>
      </c>
      <c r="D35" s="1333">
        <v>210</v>
      </c>
      <c r="E35" s="1333">
        <v>242</v>
      </c>
      <c r="F35" s="1333">
        <v>271</v>
      </c>
      <c r="G35" s="1333">
        <v>182</v>
      </c>
      <c r="H35" s="1333">
        <v>96</v>
      </c>
      <c r="I35" s="1333">
        <v>34</v>
      </c>
      <c r="J35" s="1333">
        <v>15</v>
      </c>
      <c r="K35" s="1333">
        <v>6</v>
      </c>
      <c r="L35" s="1333">
        <v>2</v>
      </c>
    </row>
    <row r="36" spans="1:12" ht="18.75" customHeight="1">
      <c r="A36" s="1333" t="s">
        <v>282</v>
      </c>
      <c r="B36" s="1333">
        <v>520</v>
      </c>
      <c r="C36" s="1333">
        <v>112</v>
      </c>
      <c r="D36" s="1333">
        <v>82</v>
      </c>
      <c r="E36" s="1333">
        <v>96</v>
      </c>
      <c r="F36" s="1333">
        <v>117</v>
      </c>
      <c r="G36" s="1333">
        <v>67</v>
      </c>
      <c r="H36" s="1333">
        <v>27</v>
      </c>
      <c r="I36" s="1333">
        <v>15</v>
      </c>
      <c r="J36" s="1333">
        <v>1</v>
      </c>
      <c r="K36" s="1333">
        <v>2</v>
      </c>
      <c r="L36" s="1333">
        <v>1</v>
      </c>
    </row>
    <row r="37" spans="1:12" ht="18.75" customHeight="1">
      <c r="A37" s="1333" t="s">
        <v>283</v>
      </c>
      <c r="B37" s="1333">
        <v>430</v>
      </c>
      <c r="C37" s="1333">
        <v>114</v>
      </c>
      <c r="D37" s="1333">
        <v>62</v>
      </c>
      <c r="E37" s="1333">
        <v>66</v>
      </c>
      <c r="F37" s="1333">
        <v>84</v>
      </c>
      <c r="G37" s="1333">
        <v>68</v>
      </c>
      <c r="H37" s="1333">
        <v>21</v>
      </c>
      <c r="I37" s="1333">
        <v>12</v>
      </c>
      <c r="J37" s="1333">
        <v>1</v>
      </c>
      <c r="K37" s="1333">
        <v>1</v>
      </c>
      <c r="L37" s="1333">
        <v>1</v>
      </c>
    </row>
    <row r="38" spans="1:12" ht="18.75" customHeight="1">
      <c r="A38" s="1333" t="s">
        <v>284</v>
      </c>
      <c r="B38" s="1333">
        <v>905</v>
      </c>
      <c r="C38" s="1333">
        <v>113</v>
      </c>
      <c r="D38" s="1333">
        <v>105</v>
      </c>
      <c r="E38" s="1333">
        <v>212</v>
      </c>
      <c r="F38" s="1333">
        <v>227</v>
      </c>
      <c r="G38" s="1333">
        <v>149</v>
      </c>
      <c r="H38" s="1333">
        <v>60</v>
      </c>
      <c r="I38" s="1333">
        <v>30</v>
      </c>
      <c r="J38" s="1333">
        <v>6</v>
      </c>
      <c r="K38" s="1333">
        <v>3</v>
      </c>
      <c r="L38" s="1333">
        <v>0</v>
      </c>
    </row>
    <row r="39" spans="1:12" ht="18.75" customHeight="1">
      <c r="A39" s="1333" t="s">
        <v>285</v>
      </c>
      <c r="B39" s="1333">
        <v>818</v>
      </c>
      <c r="C39" s="1333">
        <v>192</v>
      </c>
      <c r="D39" s="1333">
        <v>118</v>
      </c>
      <c r="E39" s="1333">
        <v>162</v>
      </c>
      <c r="F39" s="1333">
        <v>180</v>
      </c>
      <c r="G39" s="1333">
        <v>96</v>
      </c>
      <c r="H39" s="1333">
        <v>44</v>
      </c>
      <c r="I39" s="1333">
        <v>18</v>
      </c>
      <c r="J39" s="1333">
        <v>4</v>
      </c>
      <c r="K39" s="1333">
        <v>2</v>
      </c>
      <c r="L39" s="1333">
        <v>2</v>
      </c>
    </row>
    <row r="40" spans="1:12" ht="18.75" customHeight="1">
      <c r="A40" s="1333" t="s">
        <v>288</v>
      </c>
      <c r="B40" s="1333">
        <v>604</v>
      </c>
      <c r="C40" s="1333">
        <v>127</v>
      </c>
      <c r="D40" s="1333">
        <v>78</v>
      </c>
      <c r="E40" s="1333">
        <v>117</v>
      </c>
      <c r="F40" s="1333">
        <v>122</v>
      </c>
      <c r="G40" s="1333">
        <v>88</v>
      </c>
      <c r="H40" s="1333">
        <v>47</v>
      </c>
      <c r="I40" s="1333">
        <v>16</v>
      </c>
      <c r="J40" s="1333">
        <v>6</v>
      </c>
      <c r="K40" s="1333">
        <v>3</v>
      </c>
      <c r="L40" s="1333">
        <v>0</v>
      </c>
    </row>
    <row r="41" spans="1:12" ht="18.75" customHeight="1">
      <c r="A41" s="1333" t="s">
        <v>286</v>
      </c>
      <c r="B41" s="1333">
        <v>896</v>
      </c>
      <c r="C41" s="1333">
        <v>141</v>
      </c>
      <c r="D41" s="1333">
        <v>130</v>
      </c>
      <c r="E41" s="1333">
        <v>205</v>
      </c>
      <c r="F41" s="1333">
        <v>183</v>
      </c>
      <c r="G41" s="1333">
        <v>141</v>
      </c>
      <c r="H41" s="1333">
        <v>63</v>
      </c>
      <c r="I41" s="1333">
        <v>21</v>
      </c>
      <c r="J41" s="1333">
        <v>9</v>
      </c>
      <c r="K41" s="1333">
        <v>1</v>
      </c>
      <c r="L41" s="1333">
        <v>2</v>
      </c>
    </row>
    <row r="42" spans="1:12" ht="18.75" customHeight="1">
      <c r="A42" s="1333" t="s">
        <v>287</v>
      </c>
      <c r="B42" s="1333">
        <v>507</v>
      </c>
      <c r="C42" s="1333">
        <v>89</v>
      </c>
      <c r="D42" s="1333">
        <v>75</v>
      </c>
      <c r="E42" s="1333">
        <v>94</v>
      </c>
      <c r="F42" s="1333">
        <v>124</v>
      </c>
      <c r="G42" s="1333">
        <v>81</v>
      </c>
      <c r="H42" s="1333">
        <v>28</v>
      </c>
      <c r="I42" s="1333">
        <v>11</v>
      </c>
      <c r="J42" s="1333">
        <v>4</v>
      </c>
      <c r="K42" s="1333">
        <v>1</v>
      </c>
      <c r="L42" s="1333">
        <v>0</v>
      </c>
    </row>
    <row r="43" spans="1:12" ht="18.75" customHeight="1">
      <c r="A43" s="1333" t="s">
        <v>289</v>
      </c>
      <c r="B43" s="1333">
        <v>979</v>
      </c>
      <c r="C43" s="1333">
        <v>156</v>
      </c>
      <c r="D43" s="1333">
        <v>136</v>
      </c>
      <c r="E43" s="1333">
        <v>185</v>
      </c>
      <c r="F43" s="1333">
        <v>216</v>
      </c>
      <c r="G43" s="1333">
        <v>145</v>
      </c>
      <c r="H43" s="1333">
        <v>79</v>
      </c>
      <c r="I43" s="1333">
        <v>42</v>
      </c>
      <c r="J43" s="1333">
        <v>11</v>
      </c>
      <c r="K43" s="1333">
        <v>5</v>
      </c>
      <c r="L43" s="1333">
        <v>4</v>
      </c>
    </row>
    <row r="44" spans="1:12" ht="18.75" customHeight="1">
      <c r="A44" s="1333" t="s">
        <v>291</v>
      </c>
      <c r="B44" s="1333">
        <v>814</v>
      </c>
      <c r="C44" s="1333">
        <v>164</v>
      </c>
      <c r="D44" s="1333">
        <v>124</v>
      </c>
      <c r="E44" s="1333">
        <v>177</v>
      </c>
      <c r="F44" s="1333">
        <v>170</v>
      </c>
      <c r="G44" s="1333">
        <v>96</v>
      </c>
      <c r="H44" s="1333">
        <v>52</v>
      </c>
      <c r="I44" s="1333">
        <v>23</v>
      </c>
      <c r="J44" s="1333">
        <v>5</v>
      </c>
      <c r="K44" s="1333">
        <v>2</v>
      </c>
      <c r="L44" s="1333">
        <v>1</v>
      </c>
    </row>
    <row r="45" spans="1:12" ht="18.75" customHeight="1">
      <c r="A45" s="1333" t="s">
        <v>292</v>
      </c>
      <c r="B45" s="1333">
        <v>525</v>
      </c>
      <c r="C45" s="1333">
        <v>132</v>
      </c>
      <c r="D45" s="1333">
        <v>82</v>
      </c>
      <c r="E45" s="1333">
        <v>96</v>
      </c>
      <c r="F45" s="1333">
        <v>106</v>
      </c>
      <c r="G45" s="1333">
        <v>70</v>
      </c>
      <c r="H45" s="1333">
        <v>32</v>
      </c>
      <c r="I45" s="1333">
        <v>4</v>
      </c>
      <c r="J45" s="1333">
        <v>2</v>
      </c>
      <c r="K45" s="1333">
        <v>1</v>
      </c>
      <c r="L45" s="1333">
        <v>0</v>
      </c>
    </row>
    <row r="46" spans="1:12" ht="18.75" customHeight="1">
      <c r="A46" s="1333" t="s">
        <v>2401</v>
      </c>
      <c r="B46" s="1333">
        <v>21890</v>
      </c>
      <c r="C46" s="1333">
        <v>3803</v>
      </c>
      <c r="D46" s="1333">
        <v>3318</v>
      </c>
      <c r="E46" s="1333">
        <v>4554</v>
      </c>
      <c r="F46" s="1333">
        <v>4801</v>
      </c>
      <c r="G46" s="1333">
        <v>3018</v>
      </c>
      <c r="H46" s="1333">
        <v>1442</v>
      </c>
      <c r="I46" s="1333">
        <v>612</v>
      </c>
      <c r="J46" s="1333">
        <v>209</v>
      </c>
      <c r="K46" s="1333">
        <v>91</v>
      </c>
      <c r="L46" s="1333">
        <v>42</v>
      </c>
    </row>
  </sheetData>
  <mergeCells count="12">
    <mergeCell ref="K28:L28"/>
    <mergeCell ref="A29:A30"/>
    <mergeCell ref="B29:B30"/>
    <mergeCell ref="C29:L29"/>
    <mergeCell ref="A4:A7"/>
    <mergeCell ref="B4:B7"/>
    <mergeCell ref="C4:C7"/>
    <mergeCell ref="D4:H4"/>
    <mergeCell ref="D5:D7"/>
    <mergeCell ref="E5:H5"/>
    <mergeCell ref="E6:F6"/>
    <mergeCell ref="G6:H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8"/>
  <sheetViews>
    <sheetView workbookViewId="0">
      <selection activeCell="F7" sqref="F7"/>
    </sheetView>
  </sheetViews>
  <sheetFormatPr defaultRowHeight="12.75"/>
  <cols>
    <col min="1" max="1" width="12" customWidth="1"/>
    <col min="2" max="2" width="7.5703125" customWidth="1"/>
    <col min="3" max="3" width="7.7109375" customWidth="1"/>
    <col min="4" max="4" width="7.85546875" customWidth="1"/>
    <col min="5" max="5" width="7.5703125" customWidth="1"/>
    <col min="6" max="6" width="7.85546875" customWidth="1"/>
    <col min="7" max="7" width="8" customWidth="1"/>
    <col min="8" max="9" width="7.28515625" customWidth="1"/>
    <col min="10" max="10" width="7.5703125" customWidth="1"/>
    <col min="11" max="15" width="7.42578125" customWidth="1"/>
    <col min="16" max="16" width="7.85546875" customWidth="1"/>
    <col min="17" max="17" width="7.7109375" customWidth="1"/>
  </cols>
  <sheetData>
    <row r="1" spans="1:17">
      <c r="A1" s="1412" t="s">
        <v>2413</v>
      </c>
      <c r="B1" s="1412"/>
      <c r="C1" s="1412"/>
      <c r="D1" s="1412"/>
      <c r="E1" s="1412"/>
      <c r="F1" s="1412"/>
      <c r="G1" s="1412"/>
      <c r="H1" s="1412"/>
      <c r="I1" s="1412"/>
      <c r="J1" s="1412"/>
      <c r="K1" s="1412"/>
      <c r="L1" s="1412"/>
      <c r="M1" s="1412"/>
      <c r="N1" s="1412"/>
      <c r="O1" s="1412"/>
      <c r="P1" s="1412"/>
      <c r="Q1" s="1412"/>
    </row>
    <row r="2" spans="1:17">
      <c r="A2" s="219"/>
      <c r="B2" s="219"/>
      <c r="C2" s="219"/>
      <c r="D2" s="1334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17" ht="84.75" customHeight="1">
      <c r="A3" s="1449" t="s">
        <v>2402</v>
      </c>
      <c r="B3" s="1450" t="s">
        <v>2403</v>
      </c>
      <c r="C3" s="1451"/>
      <c r="D3" s="1449" t="s">
        <v>2404</v>
      </c>
      <c r="E3" s="1449"/>
      <c r="F3" s="1449" t="s">
        <v>2405</v>
      </c>
      <c r="G3" s="1449"/>
      <c r="H3" s="1449" t="s">
        <v>2406</v>
      </c>
      <c r="I3" s="1449"/>
      <c r="J3" s="1449" t="s">
        <v>2407</v>
      </c>
      <c r="K3" s="1449"/>
      <c r="L3" s="1450" t="s">
        <v>2408</v>
      </c>
      <c r="M3" s="1451"/>
      <c r="N3" s="1450" t="s">
        <v>2409</v>
      </c>
      <c r="O3" s="1451"/>
      <c r="P3" s="1449" t="s">
        <v>2410</v>
      </c>
      <c r="Q3" s="1449"/>
    </row>
    <row r="4" spans="1:17">
      <c r="A4" s="1449"/>
      <c r="B4" s="1448">
        <v>2011</v>
      </c>
      <c r="C4" s="1448">
        <v>2012</v>
      </c>
      <c r="D4" s="1448">
        <v>2011</v>
      </c>
      <c r="E4" s="1448">
        <v>2012</v>
      </c>
      <c r="F4" s="1452">
        <v>2011</v>
      </c>
      <c r="G4" s="1448">
        <v>2012</v>
      </c>
      <c r="H4" s="1448">
        <v>2011</v>
      </c>
      <c r="I4" s="1448">
        <v>2012</v>
      </c>
      <c r="J4" s="1448">
        <v>2011</v>
      </c>
      <c r="K4" s="1448">
        <v>2012</v>
      </c>
      <c r="L4" s="1448">
        <v>2011</v>
      </c>
      <c r="M4" s="1448">
        <v>2012</v>
      </c>
      <c r="N4" s="1448">
        <v>2011</v>
      </c>
      <c r="O4" s="1448">
        <v>2012</v>
      </c>
      <c r="P4" s="1448">
        <v>2011</v>
      </c>
      <c r="Q4" s="1448">
        <v>2012</v>
      </c>
    </row>
    <row r="5" spans="1:17">
      <c r="A5" s="1449"/>
      <c r="B5" s="1448"/>
      <c r="C5" s="1448"/>
      <c r="D5" s="1448"/>
      <c r="E5" s="1448"/>
      <c r="F5" s="1453"/>
      <c r="G5" s="1448"/>
      <c r="H5" s="1448"/>
      <c r="I5" s="1448"/>
      <c r="J5" s="1448"/>
      <c r="K5" s="1448"/>
      <c r="L5" s="1448"/>
      <c r="M5" s="1448"/>
      <c r="N5" s="1448"/>
      <c r="O5" s="1448"/>
      <c r="P5" s="1448"/>
      <c r="Q5" s="1448"/>
    </row>
    <row r="6" spans="1:17" ht="18.75" customHeight="1">
      <c r="A6" s="1335" t="s">
        <v>1094</v>
      </c>
      <c r="B6" s="1336">
        <v>161</v>
      </c>
      <c r="C6" s="1336">
        <v>165</v>
      </c>
      <c r="D6" s="1337">
        <v>1980</v>
      </c>
      <c r="E6" s="1338">
        <v>1905</v>
      </c>
      <c r="F6" s="1339">
        <v>1222</v>
      </c>
      <c r="G6" s="1340">
        <v>1242</v>
      </c>
      <c r="H6" s="1341">
        <v>3866</v>
      </c>
      <c r="I6" s="1341">
        <v>3867</v>
      </c>
      <c r="J6" s="1336">
        <v>2776</v>
      </c>
      <c r="K6" s="1336">
        <v>2787</v>
      </c>
      <c r="L6" s="1342">
        <v>287</v>
      </c>
      <c r="M6" s="1343">
        <v>279</v>
      </c>
      <c r="N6" s="1344">
        <v>1065</v>
      </c>
      <c r="O6" s="1344">
        <v>1143</v>
      </c>
      <c r="P6" s="1345">
        <v>3419</v>
      </c>
      <c r="Q6" s="1346">
        <v>3364</v>
      </c>
    </row>
    <row r="7" spans="1:17" ht="18.75" customHeight="1">
      <c r="A7" s="1335" t="s">
        <v>1090</v>
      </c>
      <c r="B7" s="1336">
        <v>346</v>
      </c>
      <c r="C7" s="1336">
        <v>319</v>
      </c>
      <c r="D7" s="1337">
        <v>2390</v>
      </c>
      <c r="E7" s="1338">
        <v>2313</v>
      </c>
      <c r="F7" s="1339">
        <v>1703</v>
      </c>
      <c r="G7" s="1340">
        <v>1742</v>
      </c>
      <c r="H7" s="1341">
        <v>2555</v>
      </c>
      <c r="I7" s="1341">
        <v>2681</v>
      </c>
      <c r="J7" s="1336">
        <v>1823</v>
      </c>
      <c r="K7" s="1336">
        <v>1971</v>
      </c>
      <c r="L7" s="1342">
        <v>768</v>
      </c>
      <c r="M7" s="1343">
        <v>688</v>
      </c>
      <c r="N7" s="1344">
        <v>3047</v>
      </c>
      <c r="O7" s="1344">
        <v>2352</v>
      </c>
      <c r="P7" s="1345">
        <v>4218</v>
      </c>
      <c r="Q7" s="1346">
        <v>4305</v>
      </c>
    </row>
    <row r="8" spans="1:17" ht="18.75" customHeight="1">
      <c r="A8" s="1347" t="s">
        <v>1095</v>
      </c>
      <c r="B8" s="1336">
        <v>154</v>
      </c>
      <c r="C8" s="1336">
        <v>152</v>
      </c>
      <c r="D8" s="1337">
        <v>1614</v>
      </c>
      <c r="E8" s="1338">
        <v>1754</v>
      </c>
      <c r="F8" s="1339">
        <v>2127</v>
      </c>
      <c r="G8" s="1340">
        <v>2156</v>
      </c>
      <c r="H8" s="1341">
        <v>5512</v>
      </c>
      <c r="I8" s="1341">
        <v>5595</v>
      </c>
      <c r="J8" s="1336">
        <v>3452</v>
      </c>
      <c r="K8" s="1336">
        <v>3795</v>
      </c>
      <c r="L8" s="1342">
        <v>280</v>
      </c>
      <c r="M8" s="1343">
        <v>234</v>
      </c>
      <c r="N8" s="1344">
        <v>789</v>
      </c>
      <c r="O8" s="1344">
        <v>818</v>
      </c>
      <c r="P8" s="1345">
        <v>3208</v>
      </c>
      <c r="Q8" s="1346">
        <v>3355</v>
      </c>
    </row>
    <row r="9" spans="1:17" ht="18.75" customHeight="1">
      <c r="A9" s="1347" t="s">
        <v>590</v>
      </c>
      <c r="B9" s="1336">
        <v>41</v>
      </c>
      <c r="C9" s="1336">
        <v>55</v>
      </c>
      <c r="D9" s="1337">
        <v>775</v>
      </c>
      <c r="E9" s="1338">
        <v>835</v>
      </c>
      <c r="F9" s="1348">
        <v>1063</v>
      </c>
      <c r="G9" s="1349">
        <v>1022</v>
      </c>
      <c r="H9" s="1350">
        <v>2303</v>
      </c>
      <c r="I9" s="1350">
        <v>2770</v>
      </c>
      <c r="J9" s="1351">
        <v>1620</v>
      </c>
      <c r="K9" s="1351">
        <v>1866</v>
      </c>
      <c r="L9" s="1352">
        <v>76</v>
      </c>
      <c r="M9" s="1353">
        <v>98</v>
      </c>
      <c r="N9" s="1354">
        <v>305</v>
      </c>
      <c r="O9" s="1354">
        <v>355</v>
      </c>
      <c r="P9" s="1355">
        <v>2214</v>
      </c>
      <c r="Q9" s="1356">
        <v>2426</v>
      </c>
    </row>
    <row r="10" spans="1:17" ht="18.75" customHeight="1">
      <c r="A10" s="1347" t="s">
        <v>2411</v>
      </c>
      <c r="B10" s="1336">
        <v>97</v>
      </c>
      <c r="C10" s="1336">
        <v>84</v>
      </c>
      <c r="D10" s="1337">
        <v>1072</v>
      </c>
      <c r="E10" s="1338">
        <v>1098</v>
      </c>
      <c r="F10" s="1348">
        <v>830</v>
      </c>
      <c r="G10" s="1349">
        <v>832</v>
      </c>
      <c r="H10" s="1350">
        <v>2836</v>
      </c>
      <c r="I10" s="1350">
        <v>2677</v>
      </c>
      <c r="J10" s="1351">
        <v>2046</v>
      </c>
      <c r="K10" s="1351">
        <v>2033</v>
      </c>
      <c r="L10" s="1352">
        <v>216</v>
      </c>
      <c r="M10" s="1353">
        <v>214</v>
      </c>
      <c r="N10" s="1354">
        <v>358</v>
      </c>
      <c r="O10" s="1354">
        <v>475</v>
      </c>
      <c r="P10" s="1355">
        <v>1641</v>
      </c>
      <c r="Q10" s="1356">
        <v>1757</v>
      </c>
    </row>
    <row r="11" spans="1:17" ht="18.75" customHeight="1">
      <c r="A11" s="1347" t="s">
        <v>1101</v>
      </c>
      <c r="B11" s="1336">
        <v>62</v>
      </c>
      <c r="C11" s="1336">
        <v>54</v>
      </c>
      <c r="D11" s="1337">
        <v>725</v>
      </c>
      <c r="E11" s="1338">
        <v>710</v>
      </c>
      <c r="F11" s="1348">
        <v>1389</v>
      </c>
      <c r="G11" s="1349">
        <v>1376</v>
      </c>
      <c r="H11" s="1350">
        <v>3788</v>
      </c>
      <c r="I11" s="1350">
        <v>3694</v>
      </c>
      <c r="J11" s="1351">
        <v>2413</v>
      </c>
      <c r="K11" s="1351">
        <v>2543</v>
      </c>
      <c r="L11" s="1352">
        <v>237</v>
      </c>
      <c r="M11" s="1353">
        <v>246</v>
      </c>
      <c r="N11" s="1354">
        <v>234</v>
      </c>
      <c r="O11" s="1354">
        <v>392</v>
      </c>
      <c r="P11" s="1355">
        <v>1858</v>
      </c>
      <c r="Q11" s="1356">
        <v>2030</v>
      </c>
    </row>
    <row r="12" spans="1:17" ht="18.75" customHeight="1">
      <c r="A12" s="1347" t="s">
        <v>1106</v>
      </c>
      <c r="B12" s="1336">
        <v>146</v>
      </c>
      <c r="C12" s="1336">
        <v>122</v>
      </c>
      <c r="D12" s="1337">
        <v>1012</v>
      </c>
      <c r="E12" s="1338">
        <v>1055</v>
      </c>
      <c r="F12" s="1348">
        <v>1825</v>
      </c>
      <c r="G12" s="1349">
        <v>1683</v>
      </c>
      <c r="H12" s="1350">
        <v>5520</v>
      </c>
      <c r="I12" s="1350">
        <v>6127</v>
      </c>
      <c r="J12" s="1351">
        <v>3491</v>
      </c>
      <c r="K12" s="1351">
        <v>3629</v>
      </c>
      <c r="L12" s="1352">
        <v>441</v>
      </c>
      <c r="M12" s="1353">
        <v>321</v>
      </c>
      <c r="N12" s="1354">
        <v>332</v>
      </c>
      <c r="O12" s="1354">
        <v>255</v>
      </c>
      <c r="P12" s="1355">
        <v>3611</v>
      </c>
      <c r="Q12" s="1356">
        <v>3695</v>
      </c>
    </row>
    <row r="13" spans="1:17" ht="18.75" customHeight="1">
      <c r="A13" s="1347" t="s">
        <v>1102</v>
      </c>
      <c r="B13" s="1336">
        <v>58</v>
      </c>
      <c r="C13" s="1336">
        <v>37</v>
      </c>
      <c r="D13" s="1337">
        <v>603</v>
      </c>
      <c r="E13" s="1338">
        <v>561</v>
      </c>
      <c r="F13" s="1348">
        <v>1031</v>
      </c>
      <c r="G13" s="1349">
        <v>991</v>
      </c>
      <c r="H13" s="1350">
        <v>2795</v>
      </c>
      <c r="I13" s="1350">
        <v>2867</v>
      </c>
      <c r="J13" s="1351">
        <v>1888</v>
      </c>
      <c r="K13" s="1351">
        <v>1986</v>
      </c>
      <c r="L13" s="1352">
        <v>167</v>
      </c>
      <c r="M13" s="1353">
        <v>129</v>
      </c>
      <c r="N13" s="1354">
        <v>264</v>
      </c>
      <c r="O13" s="1354">
        <v>288</v>
      </c>
      <c r="P13" s="1355">
        <v>1825</v>
      </c>
      <c r="Q13" s="1356">
        <v>1913</v>
      </c>
    </row>
    <row r="14" spans="1:17" ht="18.75" customHeight="1">
      <c r="A14" s="1347" t="s">
        <v>1091</v>
      </c>
      <c r="B14" s="1336">
        <v>93</v>
      </c>
      <c r="C14" s="1336">
        <v>95</v>
      </c>
      <c r="D14" s="1337">
        <v>1208</v>
      </c>
      <c r="E14" s="1338">
        <v>1131</v>
      </c>
      <c r="F14" s="1348">
        <v>1044</v>
      </c>
      <c r="G14" s="1349">
        <v>1042</v>
      </c>
      <c r="H14" s="1350">
        <v>4348</v>
      </c>
      <c r="I14" s="1350">
        <v>4302</v>
      </c>
      <c r="J14" s="1351">
        <v>3190</v>
      </c>
      <c r="K14" s="1351">
        <v>3179</v>
      </c>
      <c r="L14" s="1352">
        <v>235</v>
      </c>
      <c r="M14" s="1353">
        <v>175</v>
      </c>
      <c r="N14" s="1354">
        <v>926</v>
      </c>
      <c r="O14" s="1354">
        <v>982</v>
      </c>
      <c r="P14" s="1355">
        <v>3531</v>
      </c>
      <c r="Q14" s="1356">
        <v>3879</v>
      </c>
    </row>
    <row r="15" spans="1:17" ht="18.75" customHeight="1">
      <c r="A15" s="1347" t="s">
        <v>1097</v>
      </c>
      <c r="B15" s="1336">
        <v>161</v>
      </c>
      <c r="C15" s="1336">
        <v>141</v>
      </c>
      <c r="D15" s="1337">
        <v>1608</v>
      </c>
      <c r="E15" s="1338">
        <v>1708</v>
      </c>
      <c r="F15" s="1348">
        <v>2172</v>
      </c>
      <c r="G15" s="1349">
        <v>2245</v>
      </c>
      <c r="H15" s="1350">
        <v>3966</v>
      </c>
      <c r="I15" s="1350">
        <v>4109</v>
      </c>
      <c r="J15" s="1351">
        <v>2829</v>
      </c>
      <c r="K15" s="1351">
        <v>2930</v>
      </c>
      <c r="L15" s="1352">
        <v>325</v>
      </c>
      <c r="M15" s="1353">
        <v>332</v>
      </c>
      <c r="N15" s="1354">
        <v>1552</v>
      </c>
      <c r="O15" s="1354">
        <v>1579</v>
      </c>
      <c r="P15" s="1355">
        <v>3986</v>
      </c>
      <c r="Q15" s="1356">
        <v>4111</v>
      </c>
    </row>
    <row r="16" spans="1:17" ht="18.75" customHeight="1">
      <c r="A16" s="1347" t="s">
        <v>1103</v>
      </c>
      <c r="B16" s="1336">
        <v>51</v>
      </c>
      <c r="C16" s="1336">
        <v>48</v>
      </c>
      <c r="D16" s="1337">
        <v>531</v>
      </c>
      <c r="E16" s="1338">
        <v>505</v>
      </c>
      <c r="F16" s="1348">
        <v>1415</v>
      </c>
      <c r="G16" s="1349">
        <v>1384</v>
      </c>
      <c r="H16" s="1350">
        <v>3769</v>
      </c>
      <c r="I16" s="1350">
        <v>4067</v>
      </c>
      <c r="J16" s="1351">
        <v>2665</v>
      </c>
      <c r="K16" s="1351">
        <v>2566</v>
      </c>
      <c r="L16" s="1352">
        <v>158</v>
      </c>
      <c r="M16" s="1353">
        <v>159</v>
      </c>
      <c r="N16" s="1354">
        <v>254</v>
      </c>
      <c r="O16" s="1354">
        <v>367</v>
      </c>
      <c r="P16" s="1355">
        <v>1399</v>
      </c>
      <c r="Q16" s="1356">
        <v>1415</v>
      </c>
    </row>
    <row r="17" spans="1:17" ht="18.75" customHeight="1">
      <c r="A17" s="1347" t="s">
        <v>1107</v>
      </c>
      <c r="B17" s="1336">
        <v>53</v>
      </c>
      <c r="C17" s="1336">
        <v>44</v>
      </c>
      <c r="D17" s="1337">
        <v>683</v>
      </c>
      <c r="E17" s="1338">
        <v>696</v>
      </c>
      <c r="F17" s="1348">
        <v>711</v>
      </c>
      <c r="G17" s="1349">
        <v>743</v>
      </c>
      <c r="H17" s="1350">
        <v>3940</v>
      </c>
      <c r="I17" s="1350">
        <v>3765</v>
      </c>
      <c r="J17" s="1351">
        <v>2118</v>
      </c>
      <c r="K17" s="1351">
        <v>2216</v>
      </c>
      <c r="L17" s="1352">
        <v>149</v>
      </c>
      <c r="M17" s="1353">
        <v>119</v>
      </c>
      <c r="N17" s="1354">
        <v>125</v>
      </c>
      <c r="O17" s="1354">
        <v>251</v>
      </c>
      <c r="P17" s="1355">
        <v>2516</v>
      </c>
      <c r="Q17" s="1356">
        <v>2599</v>
      </c>
    </row>
    <row r="18" spans="1:17" ht="18.75" customHeight="1">
      <c r="A18" s="1347" t="s">
        <v>1104</v>
      </c>
      <c r="B18" s="1336">
        <v>163</v>
      </c>
      <c r="C18" s="1336">
        <v>170</v>
      </c>
      <c r="D18" s="1337">
        <v>1506</v>
      </c>
      <c r="E18" s="1338">
        <v>1433</v>
      </c>
      <c r="F18" s="1348">
        <v>1833</v>
      </c>
      <c r="G18" s="1349">
        <v>1850</v>
      </c>
      <c r="H18" s="1350">
        <v>3368</v>
      </c>
      <c r="I18" s="1350">
        <v>3588</v>
      </c>
      <c r="J18" s="1351">
        <v>2709</v>
      </c>
      <c r="K18" s="1351">
        <v>2807</v>
      </c>
      <c r="L18" s="1352">
        <v>280</v>
      </c>
      <c r="M18" s="1353">
        <v>293</v>
      </c>
      <c r="N18" s="1354">
        <v>875</v>
      </c>
      <c r="O18" s="1354">
        <v>584</v>
      </c>
      <c r="P18" s="1355">
        <v>4392</v>
      </c>
      <c r="Q18" s="1356">
        <v>4252</v>
      </c>
    </row>
    <row r="19" spans="1:17" ht="18.75" customHeight="1">
      <c r="A19" s="1347" t="s">
        <v>1105</v>
      </c>
      <c r="B19" s="1336">
        <v>127</v>
      </c>
      <c r="C19" s="1336">
        <v>123</v>
      </c>
      <c r="D19" s="1337">
        <v>1063</v>
      </c>
      <c r="E19" s="1338">
        <v>1042</v>
      </c>
      <c r="F19" s="1348">
        <v>1330</v>
      </c>
      <c r="G19" s="1349">
        <v>1486</v>
      </c>
      <c r="H19" s="1350">
        <v>3836</v>
      </c>
      <c r="I19" s="1350">
        <v>3867</v>
      </c>
      <c r="J19" s="1351">
        <v>2763</v>
      </c>
      <c r="K19" s="1351">
        <v>2632</v>
      </c>
      <c r="L19" s="1352">
        <v>294</v>
      </c>
      <c r="M19" s="1353">
        <v>221</v>
      </c>
      <c r="N19" s="1354">
        <v>674</v>
      </c>
      <c r="O19" s="1354">
        <v>619</v>
      </c>
      <c r="P19" s="1355">
        <v>2739</v>
      </c>
      <c r="Q19" s="1356">
        <v>2502</v>
      </c>
    </row>
    <row r="20" spans="1:17" ht="18.75" customHeight="1">
      <c r="A20" s="1347" t="s">
        <v>1092</v>
      </c>
      <c r="B20" s="1336">
        <v>113</v>
      </c>
      <c r="C20" s="1336">
        <v>115</v>
      </c>
      <c r="D20" s="1337">
        <v>1959</v>
      </c>
      <c r="E20" s="1338">
        <v>1659</v>
      </c>
      <c r="F20" s="1348">
        <v>827</v>
      </c>
      <c r="G20" s="1349">
        <v>628</v>
      </c>
      <c r="H20" s="1350">
        <v>3300</v>
      </c>
      <c r="I20" s="1350">
        <v>3841</v>
      </c>
      <c r="J20" s="1351">
        <v>2415</v>
      </c>
      <c r="K20" s="1351">
        <v>2712</v>
      </c>
      <c r="L20" s="1352">
        <v>497</v>
      </c>
      <c r="M20" s="1353">
        <v>349</v>
      </c>
      <c r="N20" s="1354">
        <v>1749</v>
      </c>
      <c r="O20" s="1354">
        <v>1836</v>
      </c>
      <c r="P20" s="1355">
        <v>2777</v>
      </c>
      <c r="Q20" s="1356">
        <v>2854</v>
      </c>
    </row>
    <row r="21" spans="1:17" ht="18.75" customHeight="1">
      <c r="A21" s="1347" t="s">
        <v>1093</v>
      </c>
      <c r="B21" s="1336">
        <v>114</v>
      </c>
      <c r="C21" s="1336">
        <v>100</v>
      </c>
      <c r="D21" s="1337">
        <v>1346</v>
      </c>
      <c r="E21" s="1338">
        <v>1177</v>
      </c>
      <c r="F21" s="1348">
        <v>684</v>
      </c>
      <c r="G21" s="1349">
        <v>836</v>
      </c>
      <c r="H21" s="1350">
        <v>2972</v>
      </c>
      <c r="I21" s="1350">
        <v>3249</v>
      </c>
      <c r="J21" s="1351">
        <v>2321</v>
      </c>
      <c r="K21" s="1351">
        <v>2367</v>
      </c>
      <c r="L21" s="1352">
        <v>457</v>
      </c>
      <c r="M21" s="1353">
        <v>364</v>
      </c>
      <c r="N21" s="1354">
        <v>1536</v>
      </c>
      <c r="O21" s="1354">
        <v>1808</v>
      </c>
      <c r="P21" s="1355">
        <v>2670</v>
      </c>
      <c r="Q21" s="1356">
        <v>2732</v>
      </c>
    </row>
    <row r="22" spans="1:17" ht="18.75" customHeight="1">
      <c r="A22" s="1347" t="s">
        <v>1098</v>
      </c>
      <c r="B22" s="1336">
        <v>225</v>
      </c>
      <c r="C22" s="1336">
        <v>231</v>
      </c>
      <c r="D22" s="1337">
        <v>1903</v>
      </c>
      <c r="E22" s="1338">
        <v>2045</v>
      </c>
      <c r="F22" s="1348">
        <v>3021</v>
      </c>
      <c r="G22" s="1349">
        <v>3257</v>
      </c>
      <c r="H22" s="1350">
        <v>8423</v>
      </c>
      <c r="I22" s="1350">
        <v>8164</v>
      </c>
      <c r="J22" s="1351">
        <v>5976</v>
      </c>
      <c r="K22" s="1351">
        <v>5683</v>
      </c>
      <c r="L22" s="1352">
        <v>375</v>
      </c>
      <c r="M22" s="1353">
        <v>362</v>
      </c>
      <c r="N22" s="1354">
        <v>1087</v>
      </c>
      <c r="O22" s="1354">
        <v>1020</v>
      </c>
      <c r="P22" s="1355">
        <v>4679</v>
      </c>
      <c r="Q22" s="1356">
        <v>4674</v>
      </c>
    </row>
    <row r="23" spans="1:17" ht="18.75" customHeight="1">
      <c r="A23" s="1347" t="s">
        <v>1108</v>
      </c>
      <c r="B23" s="1336">
        <v>127</v>
      </c>
      <c r="C23" s="1336">
        <v>116</v>
      </c>
      <c r="D23" s="1337">
        <v>1030</v>
      </c>
      <c r="E23" s="1338">
        <v>929</v>
      </c>
      <c r="F23" s="1348">
        <v>1811</v>
      </c>
      <c r="G23" s="1349">
        <v>1824</v>
      </c>
      <c r="H23" s="1350">
        <v>4064</v>
      </c>
      <c r="I23" s="1350">
        <v>3603</v>
      </c>
      <c r="J23" s="1351">
        <v>3030</v>
      </c>
      <c r="K23" s="1351">
        <v>2781</v>
      </c>
      <c r="L23" s="1352">
        <v>166</v>
      </c>
      <c r="M23" s="1353">
        <v>163</v>
      </c>
      <c r="N23" s="1354">
        <v>850</v>
      </c>
      <c r="O23" s="1354">
        <v>883</v>
      </c>
      <c r="P23" s="1355">
        <v>2415</v>
      </c>
      <c r="Q23" s="1356">
        <v>3090</v>
      </c>
    </row>
    <row r="24" spans="1:17" ht="18.75" customHeight="1">
      <c r="A24" s="1347" t="s">
        <v>1100</v>
      </c>
      <c r="B24" s="1336">
        <v>166</v>
      </c>
      <c r="C24" s="1336">
        <v>129</v>
      </c>
      <c r="D24" s="1337">
        <v>1200</v>
      </c>
      <c r="E24" s="1338">
        <v>1097</v>
      </c>
      <c r="F24" s="1348">
        <v>1869</v>
      </c>
      <c r="G24" s="1349">
        <v>1992</v>
      </c>
      <c r="H24" s="1350">
        <v>5386</v>
      </c>
      <c r="I24" s="1350">
        <v>4957</v>
      </c>
      <c r="J24" s="1351">
        <v>4136</v>
      </c>
      <c r="K24" s="1351">
        <v>3913</v>
      </c>
      <c r="L24" s="1352">
        <v>381</v>
      </c>
      <c r="M24" s="1353">
        <v>310</v>
      </c>
      <c r="N24" s="1354">
        <v>242</v>
      </c>
      <c r="O24" s="1354">
        <v>324</v>
      </c>
      <c r="P24" s="1355">
        <v>3097</v>
      </c>
      <c r="Q24" s="1356">
        <v>3515</v>
      </c>
    </row>
    <row r="25" spans="1:17" ht="18.75" customHeight="1">
      <c r="A25" s="1347" t="s">
        <v>1109</v>
      </c>
      <c r="B25" s="1336">
        <v>1662</v>
      </c>
      <c r="C25" s="1336">
        <v>1793</v>
      </c>
      <c r="D25" s="1337">
        <v>10684</v>
      </c>
      <c r="E25" s="1338">
        <v>11026</v>
      </c>
      <c r="F25" s="1348">
        <v>16645</v>
      </c>
      <c r="G25" s="1349">
        <v>16038</v>
      </c>
      <c r="H25" s="1350">
        <v>29578</v>
      </c>
      <c r="I25" s="1350">
        <v>29701</v>
      </c>
      <c r="J25" s="1351">
        <v>24368</v>
      </c>
      <c r="K25" s="1351">
        <v>23826</v>
      </c>
      <c r="L25" s="1352">
        <v>7833</v>
      </c>
      <c r="M25" s="1353">
        <v>7725</v>
      </c>
      <c r="N25" s="1354">
        <v>6959</v>
      </c>
      <c r="O25" s="1354">
        <v>6048</v>
      </c>
      <c r="P25" s="1355">
        <v>26955</v>
      </c>
      <c r="Q25" s="1356">
        <v>30025</v>
      </c>
    </row>
    <row r="26" spans="1:17" ht="18.75" customHeight="1">
      <c r="A26" s="1347" t="s">
        <v>1096</v>
      </c>
      <c r="B26" s="1336">
        <v>164</v>
      </c>
      <c r="C26" s="1336">
        <v>171</v>
      </c>
      <c r="D26" s="1337">
        <v>1308</v>
      </c>
      <c r="E26" s="1338">
        <v>1294</v>
      </c>
      <c r="F26" s="1348">
        <v>1516</v>
      </c>
      <c r="G26" s="1349">
        <v>1544</v>
      </c>
      <c r="H26" s="1350">
        <v>3331</v>
      </c>
      <c r="I26" s="1350">
        <v>3350</v>
      </c>
      <c r="J26" s="1351">
        <v>2705</v>
      </c>
      <c r="K26" s="1351">
        <v>2749</v>
      </c>
      <c r="L26" s="1352">
        <v>268</v>
      </c>
      <c r="M26" s="1353">
        <v>339</v>
      </c>
      <c r="N26" s="1354">
        <v>755</v>
      </c>
      <c r="O26" s="1354">
        <v>722</v>
      </c>
      <c r="P26" s="1355">
        <v>3094</v>
      </c>
      <c r="Q26" s="1356">
        <v>3258</v>
      </c>
    </row>
    <row r="27" spans="1:17" ht="18.75" customHeight="1">
      <c r="A27" s="1347" t="s">
        <v>1099</v>
      </c>
      <c r="B27" s="1336">
        <v>14</v>
      </c>
      <c r="C27" s="1336">
        <v>24</v>
      </c>
      <c r="D27" s="1337">
        <v>176</v>
      </c>
      <c r="E27" s="1338">
        <v>170</v>
      </c>
      <c r="F27" s="1348">
        <v>285</v>
      </c>
      <c r="G27" s="1349">
        <v>315</v>
      </c>
      <c r="H27" s="1350">
        <v>913</v>
      </c>
      <c r="I27" s="1350">
        <v>840</v>
      </c>
      <c r="J27" s="1351">
        <v>652</v>
      </c>
      <c r="K27" s="1351">
        <v>586</v>
      </c>
      <c r="L27" s="1352">
        <v>39</v>
      </c>
      <c r="M27" s="1353">
        <v>40</v>
      </c>
      <c r="N27" s="1354">
        <v>64</v>
      </c>
      <c r="O27" s="1354">
        <v>98</v>
      </c>
      <c r="P27" s="1355">
        <v>493</v>
      </c>
      <c r="Q27" s="1356">
        <v>512</v>
      </c>
    </row>
    <row r="28" spans="1:17" ht="18.75" customHeight="1">
      <c r="A28" s="1357" t="s">
        <v>2412</v>
      </c>
      <c r="B28" s="1358">
        <v>4298</v>
      </c>
      <c r="C28" s="1358">
        <v>4288</v>
      </c>
      <c r="D28" s="1359">
        <v>36376</v>
      </c>
      <c r="E28" s="1360">
        <v>36143</v>
      </c>
      <c r="F28" s="1361">
        <v>46353</v>
      </c>
      <c r="G28" s="1362">
        <v>46228</v>
      </c>
      <c r="H28" s="1363">
        <v>110369</v>
      </c>
      <c r="I28" s="1363">
        <v>111681</v>
      </c>
      <c r="J28" s="1358">
        <v>81386</v>
      </c>
      <c r="K28" s="1358">
        <v>81557</v>
      </c>
      <c r="L28" s="1364">
        <v>13929</v>
      </c>
      <c r="M28" s="1365">
        <v>13160</v>
      </c>
      <c r="N28" s="1366">
        <v>24042</v>
      </c>
      <c r="O28" s="1366">
        <v>23199</v>
      </c>
      <c r="P28" s="1367">
        <v>86737</v>
      </c>
      <c r="Q28" s="1368">
        <v>92263</v>
      </c>
    </row>
  </sheetData>
  <mergeCells count="26">
    <mergeCell ref="N4:N5"/>
    <mergeCell ref="O4:O5"/>
    <mergeCell ref="P4:P5"/>
    <mergeCell ref="Q4:Q5"/>
    <mergeCell ref="H4:H5"/>
    <mergeCell ref="I4:I5"/>
    <mergeCell ref="J4:J5"/>
    <mergeCell ref="K4:K5"/>
    <mergeCell ref="L4:L5"/>
    <mergeCell ref="M4:M5"/>
    <mergeCell ref="G4:G5"/>
    <mergeCell ref="A1:Q1"/>
    <mergeCell ref="A3:A5"/>
    <mergeCell ref="B3:C3"/>
    <mergeCell ref="D3:E3"/>
    <mergeCell ref="F3:G3"/>
    <mergeCell ref="H3:I3"/>
    <mergeCell ref="J3:K3"/>
    <mergeCell ref="L3:M3"/>
    <mergeCell ref="N3:O3"/>
    <mergeCell ref="P3:Q3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2</vt:i4>
      </vt:variant>
    </vt:vector>
  </HeadingPairs>
  <TitlesOfParts>
    <vt:vector size="65" baseType="lpstr">
      <vt:lpstr>nuur </vt:lpstr>
      <vt:lpstr>Toviyog 1-2</vt:lpstr>
      <vt:lpstr>ED ZAS-9-11</vt:lpstr>
      <vt:lpstr>XA-12-20</vt:lpstr>
      <vt:lpstr>XA-21</vt:lpstr>
      <vt:lpstr>XA-22</vt:lpstr>
      <vt:lpstr>XA-23</vt:lpstr>
      <vt:lpstr>XA-24a</vt:lpstr>
      <vt:lpstr>XA-24b</vt:lpstr>
      <vt:lpstr>XA-25</vt:lpstr>
      <vt:lpstr>Tusuv orlogo-26</vt:lpstr>
      <vt:lpstr>Or_sum-27</vt:lpstr>
      <vt:lpstr>Zarlaga-28,29</vt:lpstr>
      <vt:lpstr>Uglug, avlaga-30</vt:lpstr>
      <vt:lpstr>Maltai urh-31</vt:lpstr>
      <vt:lpstr>Malchin urh-32</vt:lpstr>
      <vt:lpstr>buleglelt-33</vt:lpstr>
      <vt:lpstr>bmal-34-36</vt:lpstr>
      <vt:lpstr>S.ergelt-37</vt:lpstr>
      <vt:lpstr>tejeel-38</vt:lpstr>
      <vt:lpstr>mal_soyol-39</vt:lpstr>
      <vt:lpstr>zardal-40</vt:lpstr>
      <vt:lpstr>hudag-41</vt:lpstr>
      <vt:lpstr>TARIALALT</vt:lpstr>
      <vt:lpstr>tejeever-42</vt:lpstr>
      <vt:lpstr>mashin.t.t-43</vt:lpstr>
      <vt:lpstr>horogdol-44</vt:lpstr>
      <vt:lpstr>Tul boi-45</vt:lpstr>
      <vt:lpstr>Heeltuulegch-46</vt:lpstr>
      <vt:lpstr>tarialalt-47</vt:lpstr>
      <vt:lpstr>ga-n urgats-48</vt:lpstr>
      <vt:lpstr>urgats-49</vt:lpstr>
      <vt:lpstr>Eruul mend-50</vt:lpstr>
      <vt:lpstr>Er Ham-51</vt:lpstr>
      <vt:lpstr>Haldvart uvchin-52,53</vt:lpstr>
      <vt:lpstr>NDX-54</vt:lpstr>
      <vt:lpstr>EBS-udruur suraltsagch-55</vt:lpstr>
      <vt:lpstr>EBS-huiseer-56</vt:lpstr>
      <vt:lpstr>EBS-dotuur bair-57</vt:lpstr>
      <vt:lpstr>SOB-58</vt:lpstr>
      <vt:lpstr>DD-59</vt:lpstr>
      <vt:lpstr>MSUT-60</vt:lpstr>
      <vt:lpstr>Politexnik-61</vt:lpstr>
      <vt:lpstr>Politexnik-62</vt:lpstr>
      <vt:lpstr>TT-63</vt:lpstr>
      <vt:lpstr>TT-64</vt:lpstr>
      <vt:lpstr>MID-65</vt:lpstr>
      <vt:lpstr>Gemt hereg-66</vt:lpstr>
      <vt:lpstr>Gaali-67</vt:lpstr>
      <vt:lpstr>une-68</vt:lpstr>
      <vt:lpstr>NXYX-69, 70</vt:lpstr>
      <vt:lpstr>NXYX-2-71</vt:lpstr>
      <vt:lpstr>XXAAJDUG-72</vt:lpstr>
      <vt:lpstr>YHISan-73</vt:lpstr>
      <vt:lpstr>Bayantumen-74</vt:lpstr>
      <vt:lpstr>ay-75</vt:lpstr>
      <vt:lpstr>ay but-76</vt:lpstr>
      <vt:lpstr>teever-77</vt:lpstr>
      <vt:lpstr>GNsan-78-81</vt:lpstr>
      <vt:lpstr>maljuulalt-82</vt:lpstr>
      <vt:lpstr>ShA-in bair-83</vt:lpstr>
      <vt:lpstr>Ajil haij bui-84</vt:lpstr>
      <vt:lpstr>habtas</vt:lpstr>
      <vt:lpstr>TARIALALT!Print_Area</vt:lpstr>
      <vt:lpstr>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486</dc:creator>
  <cp:lastModifiedBy>Otgoo</cp:lastModifiedBy>
  <cp:lastPrinted>2013-08-15T22:43:28Z</cp:lastPrinted>
  <dcterms:created xsi:type="dcterms:W3CDTF">1999-05-03T16:59:49Z</dcterms:created>
  <dcterms:modified xsi:type="dcterms:W3CDTF">2013-08-15T23:39:15Z</dcterms:modified>
</cp:coreProperties>
</file>